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6980" windowHeight="9150"/>
  </bookViews>
  <sheets>
    <sheet name="NPV" sheetId="1" r:id="rId1"/>
    <sheet name="IRR" sheetId="2" r:id="rId2"/>
    <sheet name="PSW_Sheet" sheetId="3" state="veryHidden" r:id="rId3"/>
    <sheet name="Inc IRR Rule" sheetId="4" r:id="rId4"/>
    <sheet name="Readme" sheetId="5" r:id="rId5"/>
  </sheets>
  <definedNames>
    <definedName name="Control_1">NPV!$CB$10</definedName>
    <definedName name="Control_2">NPV!$CB$12</definedName>
    <definedName name="Interest">NPV!$L$11</definedName>
    <definedName name="MARR">NPV!$L$9</definedName>
    <definedName name="nb">NPV!$BB$5</definedName>
    <definedName name="PSW_BACK_1" hidden="1">IRR!$T$28</definedName>
    <definedName name="PSW_CALCULATE_0" hidden="1">NPV!$C$26</definedName>
    <definedName name="PSW_NEXT_0" hidden="1">NPV!$F$26</definedName>
    <definedName name="PSWInput_0_0" hidden="1">NPV!$L$6</definedName>
    <definedName name="PSWInput_0_1" hidden="1">NPV!$L$9</definedName>
    <definedName name="PSWInput_0_10" hidden="1">NPV!$Q$20</definedName>
    <definedName name="PSWInput_0_11" hidden="1">NPV!$E$21</definedName>
    <definedName name="PSWInput_0_12" hidden="1">NPV!$K$21</definedName>
    <definedName name="PSWInput_0_13" hidden="1">NPV!$N$21</definedName>
    <definedName name="PSWInput_0_14" hidden="1">NPV!$Q$21</definedName>
    <definedName name="PSWInput_0_15" hidden="1">NPV!$E$22</definedName>
    <definedName name="PSWInput_0_16" hidden="1">NPV!$K$22</definedName>
    <definedName name="PSWInput_0_17" hidden="1">NPV!$N$22</definedName>
    <definedName name="PSWInput_0_18" hidden="1">NPV!$Q$22</definedName>
    <definedName name="PSWInput_0_19" hidden="1">NPV!$E$23</definedName>
    <definedName name="PSWInput_0_2" hidden="1">NPV!$L$11</definedName>
    <definedName name="PSWInput_0_20" hidden="1">NPV!$K$23</definedName>
    <definedName name="PSWInput_0_21" hidden="1">NPV!$N$23</definedName>
    <definedName name="PSWInput_0_22" hidden="1">NPV!$Q$23</definedName>
    <definedName name="PSWInput_0_23" hidden="1">NPV!$E$24</definedName>
    <definedName name="PSWInput_0_24" hidden="1">NPV!$K$24</definedName>
    <definedName name="PSWInput_0_25" hidden="1">NPV!$N$24</definedName>
    <definedName name="PSWInput_0_26" hidden="1">NPV!$Q$24</definedName>
    <definedName name="PSWInput_0_27" hidden="1">NPV!$W$19</definedName>
    <definedName name="PSWInput_0_28" hidden="1">NPV!$W$20</definedName>
    <definedName name="PSWInput_0_29" hidden="1">NPV!$W$21</definedName>
    <definedName name="PSWInput_0_3" hidden="1">NPV!$E$19</definedName>
    <definedName name="PSWInput_0_30" hidden="1">NPV!$W$22</definedName>
    <definedName name="PSWInput_0_31" hidden="1">NPV!$W$23</definedName>
    <definedName name="PSWInput_0_32" hidden="1">NPV!$W$24</definedName>
    <definedName name="PSWInput_0_4" hidden="1">NPV!$K$19</definedName>
    <definedName name="PSWInput_0_5" hidden="1">NPV!$N$19</definedName>
    <definedName name="PSWInput_0_6" hidden="1">NPV!$Q$19</definedName>
    <definedName name="PSWInput_0_7" hidden="1">NPV!$E$20</definedName>
    <definedName name="PSWInput_0_8" hidden="1">NPV!$K$20</definedName>
    <definedName name="PSWInput_0_9" hidden="1">NPV!$N$20</definedName>
    <definedName name="PSWOutput_0" hidden="1">NPV!$A$1:$AL$56</definedName>
    <definedName name="PSWOutput_1" hidden="1">IRR!$A$1:$AG$30</definedName>
    <definedName name="PSWSeries_0_0_Labels" hidden="1">NPV!$BX$22:$BX$26</definedName>
    <definedName name="PSWSeries_0_0_Values" hidden="1">NPV!$BY$22:$BY$26</definedName>
    <definedName name="PSWSeries_0_1_Labels" hidden="1">NPV!$BX$22:$BX$26</definedName>
    <definedName name="PSWSeries_0_1_Values" hidden="1">NPV!$BZ$22:$BZ$26</definedName>
    <definedName name="SpreadsheetWEBApplicationId" hidden="1">PSW_Sheet!$A$15</definedName>
    <definedName name="SpreadsheetWEBDataID" hidden="1">PSW_Sheet!$A$16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Year">NPV!$L$6</definedName>
  </definedNames>
  <calcPr calcId="125725"/>
</workbook>
</file>

<file path=xl/calcChain.xml><?xml version="1.0" encoding="utf-8"?>
<calcChain xmlns="http://schemas.openxmlformats.org/spreadsheetml/2006/main">
  <c r="J8" i="2"/>
  <c r="BZ23" i="1"/>
  <c r="BZ24"/>
  <c r="BZ25"/>
  <c r="BZ26"/>
  <c r="BZ22"/>
  <c r="BJ13"/>
  <c r="BN13"/>
  <c r="BO13"/>
  <c r="BR13"/>
  <c r="BS13"/>
  <c r="BT13"/>
  <c r="CC37" l="1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36"/>
  <c r="CC25"/>
  <c r="CC24"/>
  <c r="CC23"/>
  <c r="CC22"/>
  <c r="CC26"/>
  <c r="CC27" s="1"/>
  <c r="C25" s="1"/>
  <c r="CB22"/>
  <c r="CB23"/>
  <c r="CB24"/>
  <c r="CB25"/>
  <c r="CB26"/>
  <c r="AR21"/>
  <c r="AO25"/>
  <c r="AS25" s="1"/>
  <c r="AO24"/>
  <c r="AS24" s="1"/>
  <c r="AO22"/>
  <c r="AS22" s="1"/>
  <c r="CB12"/>
  <c r="C10"/>
  <c r="CB10" l="1"/>
  <c r="C8"/>
  <c r="AO23"/>
  <c r="AS23" s="1"/>
  <c r="AO26"/>
  <c r="AS26" s="1"/>
  <c r="D46" l="1"/>
  <c r="D47"/>
  <c r="D48"/>
  <c r="D49"/>
  <c r="D50"/>
  <c r="D51"/>
  <c r="D52"/>
  <c r="D53"/>
  <c r="D54"/>
  <c r="D35"/>
  <c r="D36" s="1"/>
  <c r="D37" s="1"/>
  <c r="D38" s="1"/>
  <c r="D39" s="1"/>
  <c r="D40" s="1"/>
  <c r="D41" s="1"/>
  <c r="D42" s="1"/>
  <c r="D43" s="1"/>
  <c r="D44" s="1"/>
  <c r="D45" s="1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34"/>
  <c r="X31"/>
  <c r="R31"/>
  <c r="L31"/>
  <c r="F31"/>
  <c r="AD31"/>
  <c r="AH32"/>
  <c r="AF32"/>
  <c r="AD32"/>
  <c r="AD34"/>
  <c r="BE23" s="1"/>
  <c r="T24"/>
  <c r="T20"/>
  <c r="T21"/>
  <c r="T22"/>
  <c r="T23"/>
  <c r="AF34" l="1"/>
  <c r="AH34" s="1"/>
  <c r="BK43"/>
  <c r="BL43"/>
  <c r="BM43"/>
  <c r="BP43"/>
  <c r="BQ43"/>
  <c r="BU43"/>
  <c r="BI43"/>
  <c r="BH43"/>
  <c r="BG43"/>
  <c r="BF43"/>
  <c r="BK42"/>
  <c r="BL42"/>
  <c r="BM42"/>
  <c r="BP42"/>
  <c r="BQ42"/>
  <c r="BU42"/>
  <c r="BI42"/>
  <c r="BH42"/>
  <c r="BG42"/>
  <c r="BF42"/>
  <c r="BK41"/>
  <c r="BL41"/>
  <c r="BM41"/>
  <c r="BP41"/>
  <c r="BQ41"/>
  <c r="BU41"/>
  <c r="BI41"/>
  <c r="BH41"/>
  <c r="BG41"/>
  <c r="BF41"/>
  <c r="BK40"/>
  <c r="BL40"/>
  <c r="BM40"/>
  <c r="BP40"/>
  <c r="BQ40"/>
  <c r="BU40"/>
  <c r="BI40"/>
  <c r="BH40"/>
  <c r="BG40"/>
  <c r="BF40"/>
  <c r="BK39"/>
  <c r="BL39"/>
  <c r="BM39"/>
  <c r="BP39"/>
  <c r="BQ39"/>
  <c r="BU39"/>
  <c r="BI39"/>
  <c r="BH39"/>
  <c r="BG39"/>
  <c r="BF39"/>
  <c r="BK38"/>
  <c r="BL38"/>
  <c r="BM38"/>
  <c r="BP38"/>
  <c r="BQ38"/>
  <c r="BU38"/>
  <c r="BI38"/>
  <c r="BH38"/>
  <c r="BG38"/>
  <c r="BF38"/>
  <c r="BK37"/>
  <c r="BL37"/>
  <c r="BM37"/>
  <c r="BP37"/>
  <c r="BQ37"/>
  <c r="BU37"/>
  <c r="BI37"/>
  <c r="BH37"/>
  <c r="BG37"/>
  <c r="BF37"/>
  <c r="BK36"/>
  <c r="BL36"/>
  <c r="BM36"/>
  <c r="BP36"/>
  <c r="BQ36"/>
  <c r="BU36"/>
  <c r="BI36"/>
  <c r="BH36"/>
  <c r="BG36"/>
  <c r="BF36"/>
  <c r="BK35"/>
  <c r="BL35"/>
  <c r="BM35"/>
  <c r="BP35"/>
  <c r="BQ35"/>
  <c r="BU35"/>
  <c r="BI35"/>
  <c r="BH35"/>
  <c r="BG35"/>
  <c r="BF35"/>
  <c r="AD54"/>
  <c r="BE43" s="1"/>
  <c r="AD53"/>
  <c r="BE42" s="1"/>
  <c r="AD52"/>
  <c r="BE41" s="1"/>
  <c r="AD51"/>
  <c r="BE40" s="1"/>
  <c r="AD50"/>
  <c r="BE39" s="1"/>
  <c r="AD49"/>
  <c r="BE38" s="1"/>
  <c r="AD48"/>
  <c r="BE37" s="1"/>
  <c r="AD47"/>
  <c r="BE36" s="1"/>
  <c r="AD46"/>
  <c r="BE35" s="1"/>
  <c r="AD45"/>
  <c r="BE34" s="1"/>
  <c r="AD44"/>
  <c r="BE33" s="1"/>
  <c r="AD43"/>
  <c r="BE32" s="1"/>
  <c r="AD42"/>
  <c r="BE31" s="1"/>
  <c r="AD41"/>
  <c r="BE30" s="1"/>
  <c r="AD40"/>
  <c r="BE29" s="1"/>
  <c r="AD39"/>
  <c r="BE28" s="1"/>
  <c r="AD38"/>
  <c r="BE27" s="1"/>
  <c r="AD37"/>
  <c r="BE26" s="1"/>
  <c r="AD36"/>
  <c r="BE25" s="1"/>
  <c r="AD35"/>
  <c r="F54"/>
  <c r="BA43" s="1"/>
  <c r="F53"/>
  <c r="BA42" s="1"/>
  <c r="F52"/>
  <c r="BA41" s="1"/>
  <c r="F51"/>
  <c r="BA40" s="1"/>
  <c r="F50"/>
  <c r="BA39" s="1"/>
  <c r="F49"/>
  <c r="BA38" s="1"/>
  <c r="F48"/>
  <c r="BA37" s="1"/>
  <c r="F47"/>
  <c r="BA36" s="1"/>
  <c r="F46"/>
  <c r="BA35" s="1"/>
  <c r="F45"/>
  <c r="F44"/>
  <c r="F43"/>
  <c r="F42"/>
  <c r="F41"/>
  <c r="F40"/>
  <c r="F39"/>
  <c r="F38"/>
  <c r="F37"/>
  <c r="F36"/>
  <c r="F35"/>
  <c r="L54"/>
  <c r="BB43" s="1"/>
  <c r="L53"/>
  <c r="BB42" s="1"/>
  <c r="L52"/>
  <c r="BB41" s="1"/>
  <c r="L51"/>
  <c r="BB40" s="1"/>
  <c r="L50"/>
  <c r="BB39" s="1"/>
  <c r="L49"/>
  <c r="BB38" s="1"/>
  <c r="L48"/>
  <c r="BB37" s="1"/>
  <c r="L47"/>
  <c r="BB36" s="1"/>
  <c r="L46"/>
  <c r="BB35" s="1"/>
  <c r="L45"/>
  <c r="BB34" s="1"/>
  <c r="L44"/>
  <c r="BB33" s="1"/>
  <c r="L43"/>
  <c r="BB32" s="1"/>
  <c r="L42"/>
  <c r="BB31" s="1"/>
  <c r="L41"/>
  <c r="BB30" s="1"/>
  <c r="L40"/>
  <c r="BB29" s="1"/>
  <c r="L39"/>
  <c r="BB28" s="1"/>
  <c r="L38"/>
  <c r="BB27" s="1"/>
  <c r="L37"/>
  <c r="BB26" s="1"/>
  <c r="L36"/>
  <c r="BB25" s="1"/>
  <c r="L35"/>
  <c r="BB24" s="1"/>
  <c r="R54"/>
  <c r="BC43" s="1"/>
  <c r="R53"/>
  <c r="BC42" s="1"/>
  <c r="R52"/>
  <c r="BC41" s="1"/>
  <c r="R51"/>
  <c r="BC40" s="1"/>
  <c r="R50"/>
  <c r="BC39" s="1"/>
  <c r="R49"/>
  <c r="BC38" s="1"/>
  <c r="R48"/>
  <c r="BC37" s="1"/>
  <c r="R47"/>
  <c r="BC36" s="1"/>
  <c r="R46"/>
  <c r="BC35" s="1"/>
  <c r="R45"/>
  <c r="R44"/>
  <c r="R43"/>
  <c r="BC32" s="1"/>
  <c r="R42"/>
  <c r="BC31" s="1"/>
  <c r="R41"/>
  <c r="BC30" s="1"/>
  <c r="R40"/>
  <c r="BC29" s="1"/>
  <c r="R39"/>
  <c r="BC28" s="1"/>
  <c r="R38"/>
  <c r="BC27" s="1"/>
  <c r="R37"/>
  <c r="BC26" s="1"/>
  <c r="R36"/>
  <c r="BC25" s="1"/>
  <c r="R35"/>
  <c r="BC24" s="1"/>
  <c r="X54"/>
  <c r="BD43" s="1"/>
  <c r="X53"/>
  <c r="BD42" s="1"/>
  <c r="X52"/>
  <c r="BD41" s="1"/>
  <c r="X51"/>
  <c r="BD40" s="1"/>
  <c r="X50"/>
  <c r="BD39" s="1"/>
  <c r="X49"/>
  <c r="BD38" s="1"/>
  <c r="X48"/>
  <c r="BD37" s="1"/>
  <c r="X47"/>
  <c r="BD36" s="1"/>
  <c r="X46"/>
  <c r="BD35" s="1"/>
  <c r="X45"/>
  <c r="X44"/>
  <c r="X43"/>
  <c r="X42"/>
  <c r="X41"/>
  <c r="X40"/>
  <c r="X39"/>
  <c r="X38"/>
  <c r="X37"/>
  <c r="X36"/>
  <c r="X35"/>
  <c r="H50"/>
  <c r="J50" s="1"/>
  <c r="H51"/>
  <c r="J51" s="1"/>
  <c r="H52"/>
  <c r="J52" s="1"/>
  <c r="H53"/>
  <c r="J53" s="1"/>
  <c r="H54"/>
  <c r="J54" s="1"/>
  <c r="H35"/>
  <c r="J32"/>
  <c r="H32"/>
  <c r="F32"/>
  <c r="F34"/>
  <c r="N50"/>
  <c r="P50" s="1"/>
  <c r="N51"/>
  <c r="P51" s="1"/>
  <c r="N52"/>
  <c r="P52" s="1"/>
  <c r="N53"/>
  <c r="P53" s="1"/>
  <c r="N54"/>
  <c r="P54" s="1"/>
  <c r="N35"/>
  <c r="P32"/>
  <c r="N32"/>
  <c r="L32"/>
  <c r="L34"/>
  <c r="BB23" s="1"/>
  <c r="BB17" s="1"/>
  <c r="T50"/>
  <c r="V50" s="1"/>
  <c r="T51"/>
  <c r="V51" s="1"/>
  <c r="T52"/>
  <c r="V52" s="1"/>
  <c r="T53"/>
  <c r="V53" s="1"/>
  <c r="T54"/>
  <c r="V54" s="1"/>
  <c r="T35"/>
  <c r="V32"/>
  <c r="T32"/>
  <c r="R32"/>
  <c r="R34"/>
  <c r="BC23" s="1"/>
  <c r="Z50"/>
  <c r="AB50" s="1"/>
  <c r="Z51"/>
  <c r="AB51" s="1"/>
  <c r="Z52"/>
  <c r="AB52" s="1"/>
  <c r="Z53"/>
  <c r="AB53" s="1"/>
  <c r="Z54"/>
  <c r="AB54" s="1"/>
  <c r="Z35"/>
  <c r="AB32"/>
  <c r="Z32"/>
  <c r="X32"/>
  <c r="X34"/>
  <c r="BD23" s="1"/>
  <c r="AF35"/>
  <c r="AH35" s="1"/>
  <c r="AF36"/>
  <c r="AH36" s="1"/>
  <c r="AF37"/>
  <c r="AH37" s="1"/>
  <c r="AF38"/>
  <c r="AH38" s="1"/>
  <c r="AF39"/>
  <c r="AH39" s="1"/>
  <c r="AF40"/>
  <c r="AH40" s="1"/>
  <c r="AF41"/>
  <c r="AH41" s="1"/>
  <c r="AF42"/>
  <c r="AH42" s="1"/>
  <c r="AF43"/>
  <c r="AH43" s="1"/>
  <c r="AF44"/>
  <c r="AH44" s="1"/>
  <c r="AF50"/>
  <c r="AH50" s="1"/>
  <c r="AF51"/>
  <c r="AH51" s="1"/>
  <c r="AF52"/>
  <c r="AH52" s="1"/>
  <c r="AF53"/>
  <c r="AH53" s="1"/>
  <c r="AF54"/>
  <c r="AH54" s="1"/>
  <c r="BI23" l="1"/>
  <c r="BA23"/>
  <c r="BU24"/>
  <c r="BD24"/>
  <c r="BU25"/>
  <c r="BD25"/>
  <c r="BU26"/>
  <c r="BD26"/>
  <c r="BU27"/>
  <c r="BD27"/>
  <c r="BU28"/>
  <c r="BD28"/>
  <c r="BU29"/>
  <c r="BD29"/>
  <c r="BU30"/>
  <c r="BD30"/>
  <c r="BU31"/>
  <c r="BD31"/>
  <c r="BU32"/>
  <c r="BD32"/>
  <c r="BU33"/>
  <c r="BD33"/>
  <c r="BU34"/>
  <c r="BD34"/>
  <c r="BP33"/>
  <c r="BC33"/>
  <c r="BP34"/>
  <c r="BC34"/>
  <c r="BI24"/>
  <c r="BA24"/>
  <c r="BI25"/>
  <c r="BA25"/>
  <c r="BI26"/>
  <c r="BA26"/>
  <c r="BI27"/>
  <c r="BA27"/>
  <c r="BI28"/>
  <c r="BA28"/>
  <c r="BI29"/>
  <c r="BA29"/>
  <c r="BI30"/>
  <c r="BA30"/>
  <c r="BI31"/>
  <c r="BA31"/>
  <c r="BI32"/>
  <c r="BA32"/>
  <c r="BI33"/>
  <c r="BA33"/>
  <c r="BI34"/>
  <c r="BA34"/>
  <c r="BE24"/>
  <c r="BE17" s="1"/>
  <c r="BE19" s="1"/>
  <c r="BD17"/>
  <c r="BC17"/>
  <c r="BP32"/>
  <c r="BF32"/>
  <c r="BG32"/>
  <c r="BH32"/>
  <c r="BQ32"/>
  <c r="BM32"/>
  <c r="BL32"/>
  <c r="BF33"/>
  <c r="BG33"/>
  <c r="BH33"/>
  <c r="BQ33"/>
  <c r="BM33"/>
  <c r="BL33"/>
  <c r="BF34"/>
  <c r="BG34"/>
  <c r="BH34"/>
  <c r="BQ34"/>
  <c r="BM34"/>
  <c r="BL34"/>
  <c r="Z34"/>
  <c r="AB34" s="1"/>
  <c r="BD19"/>
  <c r="T34"/>
  <c r="V34" s="1"/>
  <c r="BC19"/>
  <c r="N34"/>
  <c r="P34" s="1"/>
  <c r="BB19"/>
  <c r="BI17"/>
  <c r="BI19" s="1"/>
  <c r="BK24"/>
  <c r="BP24"/>
  <c r="BP25"/>
  <c r="BP26"/>
  <c r="BP27"/>
  <c r="BP28"/>
  <c r="BP29"/>
  <c r="BP30"/>
  <c r="BP31"/>
  <c r="BF24"/>
  <c r="BG24"/>
  <c r="BH24"/>
  <c r="BQ24"/>
  <c r="BM24"/>
  <c r="BL24"/>
  <c r="BF25"/>
  <c r="BG25"/>
  <c r="BH25"/>
  <c r="BQ25"/>
  <c r="BM25"/>
  <c r="BL25"/>
  <c r="BF26"/>
  <c r="BG26"/>
  <c r="BH26"/>
  <c r="BQ26"/>
  <c r="BM26"/>
  <c r="BL26"/>
  <c r="BF27"/>
  <c r="BG27"/>
  <c r="BH27"/>
  <c r="BQ27"/>
  <c r="BM27"/>
  <c r="BL27"/>
  <c r="BF28"/>
  <c r="BG28"/>
  <c r="BH28"/>
  <c r="BQ28"/>
  <c r="BM28"/>
  <c r="BL28"/>
  <c r="BF29"/>
  <c r="BG29"/>
  <c r="BH29"/>
  <c r="BQ29"/>
  <c r="BM29"/>
  <c r="BL29"/>
  <c r="BF30"/>
  <c r="BG30"/>
  <c r="BH30"/>
  <c r="BQ30"/>
  <c r="BM30"/>
  <c r="BL30"/>
  <c r="BF31"/>
  <c r="BG31"/>
  <c r="BH31"/>
  <c r="BQ31"/>
  <c r="BM31"/>
  <c r="BL31"/>
  <c r="BF23"/>
  <c r="BG23"/>
  <c r="BH23"/>
  <c r="BK23"/>
  <c r="BL23"/>
  <c r="BM23"/>
  <c r="BP23"/>
  <c r="BQ23"/>
  <c r="BU23"/>
  <c r="BU17" s="1"/>
  <c r="BU19" s="1"/>
  <c r="H34"/>
  <c r="J34" s="1"/>
  <c r="AF49"/>
  <c r="AF48"/>
  <c r="AF47"/>
  <c r="AF46"/>
  <c r="AF45"/>
  <c r="AH45" s="1"/>
  <c r="AA24" s="1"/>
  <c r="Z49"/>
  <c r="Z48"/>
  <c r="Z47"/>
  <c r="Z46"/>
  <c r="Z45"/>
  <c r="T49"/>
  <c r="T48"/>
  <c r="T47"/>
  <c r="T46"/>
  <c r="T45"/>
  <c r="N49"/>
  <c r="N48"/>
  <c r="N47"/>
  <c r="N46"/>
  <c r="N45"/>
  <c r="BK34" s="1"/>
  <c r="H49"/>
  <c r="H48"/>
  <c r="H47"/>
  <c r="H46"/>
  <c r="H45"/>
  <c r="AB35"/>
  <c r="Z44"/>
  <c r="Z43"/>
  <c r="Z42"/>
  <c r="Z41"/>
  <c r="Z40"/>
  <c r="Z39"/>
  <c r="Z38"/>
  <c r="Z37"/>
  <c r="Z36"/>
  <c r="AB36" s="1"/>
  <c r="V35"/>
  <c r="T44"/>
  <c r="T43"/>
  <c r="T42"/>
  <c r="T41"/>
  <c r="T40"/>
  <c r="T39"/>
  <c r="T38"/>
  <c r="T37"/>
  <c r="T36"/>
  <c r="V36" s="1"/>
  <c r="P35"/>
  <c r="N44"/>
  <c r="BK33" s="1"/>
  <c r="N43"/>
  <c r="BK32" s="1"/>
  <c r="N42"/>
  <c r="BK31" s="1"/>
  <c r="N41"/>
  <c r="BK30" s="1"/>
  <c r="N40"/>
  <c r="BK29" s="1"/>
  <c r="N39"/>
  <c r="BK28" s="1"/>
  <c r="N38"/>
  <c r="BK27" s="1"/>
  <c r="N37"/>
  <c r="BK26" s="1"/>
  <c r="N36"/>
  <c r="P36" s="1"/>
  <c r="J35"/>
  <c r="H36"/>
  <c r="J36" s="1"/>
  <c r="H44"/>
  <c r="H43"/>
  <c r="H42"/>
  <c r="H41"/>
  <c r="H40"/>
  <c r="H39"/>
  <c r="H38"/>
  <c r="H37"/>
  <c r="J37" s="1"/>
  <c r="BA17" l="1"/>
  <c r="BA19" s="1"/>
  <c r="BF17"/>
  <c r="BF19" s="1"/>
  <c r="BM17"/>
  <c r="BM19" s="1"/>
  <c r="BL17"/>
  <c r="BL19" s="1"/>
  <c r="BH17"/>
  <c r="BH19" s="1"/>
  <c r="BP17"/>
  <c r="BP19" s="1"/>
  <c r="BQ17"/>
  <c r="BQ19" s="1"/>
  <c r="BG17"/>
  <c r="BG19" s="1"/>
  <c r="BK25"/>
  <c r="BK17" s="1"/>
  <c r="BK19" s="1"/>
  <c r="AH46"/>
  <c r="AH47"/>
  <c r="AH48"/>
  <c r="AH49"/>
  <c r="BE18" s="1"/>
  <c r="J38"/>
  <c r="J39"/>
  <c r="J40"/>
  <c r="J41"/>
  <c r="J42"/>
  <c r="J43"/>
  <c r="J44"/>
  <c r="P37"/>
  <c r="P38"/>
  <c r="P39"/>
  <c r="P40"/>
  <c r="P41"/>
  <c r="P42"/>
  <c r="P43"/>
  <c r="P44"/>
  <c r="V37"/>
  <c r="V38"/>
  <c r="V39"/>
  <c r="V40"/>
  <c r="V41"/>
  <c r="V42"/>
  <c r="V43"/>
  <c r="V44"/>
  <c r="AB37"/>
  <c r="AB38"/>
  <c r="AB39"/>
  <c r="AB40"/>
  <c r="AB41"/>
  <c r="AB42"/>
  <c r="AB43"/>
  <c r="AB44"/>
  <c r="BE15" l="1"/>
  <c r="AZ18" s="1"/>
  <c r="BE13"/>
  <c r="AP26"/>
  <c r="AR26"/>
  <c r="AX26" s="1"/>
  <c r="AD24" s="1"/>
  <c r="AB45"/>
  <c r="AB46" s="1"/>
  <c r="AB47" s="1"/>
  <c r="AB48" s="1"/>
  <c r="AB49" s="1"/>
  <c r="V45"/>
  <c r="V46" s="1"/>
  <c r="V47" s="1"/>
  <c r="V48" s="1"/>
  <c r="V49" s="1"/>
  <c r="P45"/>
  <c r="P46" s="1"/>
  <c r="P47" s="1"/>
  <c r="P48" s="1"/>
  <c r="P49" s="1"/>
  <c r="J45"/>
  <c r="J46" s="1"/>
  <c r="J47" s="1"/>
  <c r="J48" s="1"/>
  <c r="J49" s="1"/>
  <c r="AA20" l="1"/>
  <c r="BA18" s="1"/>
  <c r="AA21"/>
  <c r="BB18" s="1"/>
  <c r="AA22"/>
  <c r="BC18" s="1"/>
  <c r="AA23"/>
  <c r="BD18" s="1"/>
  <c r="BF18"/>
  <c r="BI18"/>
  <c r="BM18"/>
  <c r="BU18"/>
  <c r="BL18"/>
  <c r="BH18"/>
  <c r="BQ18"/>
  <c r="BP18"/>
  <c r="BK18"/>
  <c r="BG18"/>
  <c r="AR22"/>
  <c r="AX22" s="1"/>
  <c r="AD20" s="1"/>
  <c r="AR20"/>
  <c r="AP22"/>
  <c r="AP23"/>
  <c r="AR23"/>
  <c r="AX23" s="1"/>
  <c r="AD21" s="1"/>
  <c r="AP24"/>
  <c r="AR24"/>
  <c r="AX24" s="1"/>
  <c r="AD22" s="1"/>
  <c r="AP25"/>
  <c r="AR25"/>
  <c r="AX25" s="1"/>
  <c r="AD23" s="1"/>
  <c r="BD13" l="1"/>
  <c r="BD15"/>
  <c r="AZ17" s="1"/>
  <c r="BC13"/>
  <c r="BC15"/>
  <c r="AZ16" s="1"/>
  <c r="BB13"/>
  <c r="BB15"/>
  <c r="AZ15" s="1"/>
  <c r="BA15"/>
  <c r="AZ14" s="1"/>
  <c r="BA13"/>
  <c r="BP15"/>
  <c r="BP13"/>
  <c r="BK15"/>
  <c r="BK13"/>
  <c r="BL15"/>
  <c r="BL13"/>
  <c r="BG15"/>
  <c r="BG13"/>
  <c r="BH15"/>
  <c r="BH13"/>
  <c r="BF15"/>
  <c r="BF13"/>
  <c r="BQ15"/>
  <c r="BQ13"/>
  <c r="BU15"/>
  <c r="BU13"/>
  <c r="BM15"/>
  <c r="BM13"/>
  <c r="BI15"/>
  <c r="BI13"/>
  <c r="BB5"/>
  <c r="BB6"/>
  <c r="AV21"/>
  <c r="D28" s="1"/>
  <c r="C13" i="2" l="1"/>
  <c r="BX22" i="1"/>
  <c r="C21" i="2" s="1"/>
  <c r="BX15" i="1"/>
  <c r="BY22" s="1"/>
  <c r="BE7"/>
  <c r="BB7" s="1"/>
  <c r="C14" i="2" s="1"/>
  <c r="BY15" i="1"/>
  <c r="BF8"/>
  <c r="J14" i="2" l="1"/>
  <c r="D14"/>
  <c r="I21"/>
  <c r="F21"/>
  <c r="J13"/>
  <c r="D13"/>
  <c r="BX23" i="1"/>
  <c r="C22" i="2" s="1"/>
  <c r="BX16" i="1"/>
  <c r="BB8"/>
  <c r="C15" i="2" l="1"/>
  <c r="BY16" i="1"/>
  <c r="BX24" s="1"/>
  <c r="C23" i="2" s="1"/>
  <c r="BY23" i="1"/>
  <c r="I22" i="2"/>
  <c r="F22"/>
  <c r="BE9" i="1"/>
  <c r="BB9" s="1"/>
  <c r="BX17"/>
  <c r="BF10"/>
  <c r="BB10" s="1"/>
  <c r="C17" i="2" l="1"/>
  <c r="BY17" i="1"/>
  <c r="I23" i="2" s="1"/>
  <c r="BY24" i="1"/>
  <c r="F23" i="2" s="1"/>
  <c r="C16"/>
  <c r="BX25" i="1"/>
  <c r="C24" i="2" s="1"/>
  <c r="J15"/>
  <c r="D15"/>
  <c r="BX18" i="1"/>
  <c r="J17" i="2" l="1"/>
  <c r="D17"/>
  <c r="BY18" i="1"/>
  <c r="BX26" s="1"/>
  <c r="C25" i="2" s="1"/>
  <c r="BY25" i="1"/>
  <c r="F24" i="2"/>
  <c r="J16"/>
  <c r="D16"/>
  <c r="BX19" i="1"/>
  <c r="I24" i="2" l="1"/>
  <c r="BY19" i="1"/>
  <c r="C28" i="2" s="1"/>
  <c r="BY26" i="1"/>
  <c r="F25" i="2" s="1"/>
  <c r="I25" l="1"/>
</calcChain>
</file>

<file path=xl/sharedStrings.xml><?xml version="1.0" encoding="utf-8"?>
<sst xmlns="http://schemas.openxmlformats.org/spreadsheetml/2006/main" count="209" uniqueCount="180">
  <si>
    <t>Do Nothing</t>
  </si>
  <si>
    <t>Explanation</t>
  </si>
  <si>
    <t>Initial Investments</t>
  </si>
  <si>
    <t>Annual Return</t>
  </si>
  <si>
    <t>Annual Disbursement</t>
  </si>
  <si>
    <t>Annual Net Cash Flow</t>
  </si>
  <si>
    <t>Scrap Value at the end</t>
  </si>
  <si>
    <t>(up to 20 years)</t>
  </si>
  <si>
    <t>%</t>
  </si>
  <si>
    <t>Year</t>
  </si>
  <si>
    <t>PV Factor</t>
  </si>
  <si>
    <t>Option Number</t>
  </si>
  <si>
    <t>NPV of the Projects</t>
  </si>
  <si>
    <t>NPV</t>
  </si>
  <si>
    <t>NPV Analysis of the Projects</t>
  </si>
  <si>
    <t xml:space="preserve">  Years of Return of Projects</t>
  </si>
  <si>
    <t xml:space="preserve">  MARR (Minimum Acceptable Rate of Return)</t>
  </si>
  <si>
    <t xml:space="preserve">  Interest Rate</t>
  </si>
  <si>
    <t>UEsFBgAAAAAAAAAAAAAAAAAAAAAAAA%3d%3d</t>
  </si>
  <si>
    <t>Investment Options (order the options in the increasing order of Initial Investments</t>
  </si>
  <si>
    <t>1and3</t>
  </si>
  <si>
    <t>1and2</t>
  </si>
  <si>
    <t>1and4</t>
  </si>
  <si>
    <t>1and5</t>
  </si>
  <si>
    <t>2and3</t>
  </si>
  <si>
    <t>2and4</t>
  </si>
  <si>
    <t>2and5</t>
  </si>
  <si>
    <t>3and4</t>
  </si>
  <si>
    <t>3and5</t>
  </si>
  <si>
    <t>4and5</t>
  </si>
  <si>
    <t>IRR</t>
  </si>
  <si>
    <t>C</t>
  </si>
  <si>
    <t>first</t>
  </si>
  <si>
    <t>second</t>
  </si>
  <si>
    <t>third</t>
  </si>
  <si>
    <t>fourth</t>
  </si>
  <si>
    <t>fifth</t>
  </si>
  <si>
    <t>a</t>
  </si>
  <si>
    <t>number</t>
  </si>
  <si>
    <t>&lt;10</t>
  </si>
  <si>
    <t>first best</t>
  </si>
  <si>
    <t>best&amp;second</t>
  </si>
  <si>
    <t>best&amp;third</t>
  </si>
  <si>
    <t>best&amp;fourth</t>
  </si>
  <si>
    <t>best&amp;fifth</t>
  </si>
  <si>
    <t>current best</t>
  </si>
  <si>
    <t>Inc.IRR</t>
  </si>
  <si>
    <t>MARR</t>
  </si>
  <si>
    <t>Options with negative NPV are eliminated from Incremental IRR Analysis.</t>
  </si>
  <si>
    <t>Options to be investigated and their Internal Rates of Returns:</t>
  </si>
  <si>
    <t>Inc. IRR</t>
  </si>
  <si>
    <t>Current Best</t>
  </si>
  <si>
    <t>Minimum Acceptable Rate of Return:</t>
  </si>
  <si>
    <t>Calculatıons and Chart Data</t>
  </si>
  <si>
    <t>NPV Analysis of Mutually Independent Projects</t>
  </si>
  <si>
    <t>IRR Analysis of Mutually Independent Projects</t>
  </si>
  <si>
    <t>Incremental IRR Calculations:</t>
  </si>
  <si>
    <t xml:space="preserve">    Options</t>
  </si>
  <si>
    <t>Also options with IRR smaller than MARR are eliminated.</t>
  </si>
  <si>
    <t>Incremental IRR Analysis of the Projects</t>
  </si>
  <si>
    <t>Purchase Machine A</t>
  </si>
  <si>
    <t>Purchase Machine B</t>
  </si>
  <si>
    <t>Purchase Machine A&amp;B</t>
  </si>
  <si>
    <t>Purchase Machine C</t>
  </si>
  <si>
    <t>Purchase Machine A&amp;C</t>
  </si>
  <si>
    <t>Elminate options with negative NPV</t>
  </si>
  <si>
    <t>and with IRR&lt;MARR</t>
  </si>
  <si>
    <t>Let N = number of remaining options</t>
  </si>
  <si>
    <t>A = Current Best Option</t>
  </si>
  <si>
    <t>B = Challenger Option</t>
  </si>
  <si>
    <t>B ?=? N+1</t>
  </si>
  <si>
    <t>█</t>
  </si>
  <si>
    <t>yes</t>
  </si>
  <si>
    <t>A is the best option.</t>
  </si>
  <si>
    <t>no</t>
  </si>
  <si>
    <t>▬▬</t>
  </si>
  <si>
    <t>IRR of (B - A)</t>
  </si>
  <si>
    <t>&gt;=MARR</t>
  </si>
  <si>
    <t>A = B and B = B+1</t>
  </si>
  <si>
    <t>&lt;MARR</t>
  </si>
  <si>
    <t>B = B+1</t>
  </si>
  <si>
    <t>INCREMENTAL IRR ANALYSIS</t>
  </si>
  <si>
    <t>Set A =1, B = 2</t>
  </si>
  <si>
    <t>return to 2</t>
  </si>
  <si>
    <t>end</t>
  </si>
  <si>
    <t xml:space="preserve"> %3c%3fxml+version%3d%221.0%22+encoding%3d%22utf-16%22%3f%3e%0d%0a%3cWizardSettings+xmlns%3axsi%3d%22http%3a%2f%2fwww.w3.org%2f2001%2fXMLSchema-instance%22+xmlns%3axsd%3d%22http%3a%2f%2fwww.w3.org%2f2001%2fXMLSchema%22%3e%0d%0a++%3cCss%3e%0a.Class1457%7bfont-family%3a+Calibri%3b+font-size%3a11pt%3b+color%3aBlack%3btext-decoration%3anone%3bborder%3a+0.5pt++None++Black+%3bbackground-color%3aWhite%3b+text-align%3aleft%3bvertical-align%3abottom%3b%7d%0a.Class1458%7bfont-family%3a+Calibri%3b+font-size%3a11pt%3b+color%3aBlack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23376091+%3bbackground-color%3aWhite%3b+text-align%3aleft%3bvertical-align%3abottom%3b%7d%0a.Class1459%7bfont-family%3a+Calibri%3b+font-size%3a11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23376091+%3bborder-bottom-color%3a+Black+%3bbackground-color%3aWhite%3b+text-align%3aleft%3bvertical-align%3amiddle%3b%7d%0a.Class1460%7bfont-family%3a+Calibri%3b+font-size%3a11pt%3b+color%3aBlack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FAFBF7%3b+text-align%3aleft%3bvertical-align%3amiddle%3b%7d%0a.Class1461%7bfont-family%3a+Calibri%3b+font-size%3a11pt%3b+color%3aBlack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FAFBF7%3b+text-align%3aleft%3bvertical-align%3amiddle%3b%7d%0a.Class1462%7bfont-family%3a+Calibri%3b+font-size%3a11pt%3b+color%3aBlack%3btext-decoration%3anone%3bborder-top-style%3a+Solid+%3bborder-right-style%3a+Solid+%3bborder-top-width%3a+1.0pt+%3bborder-left-width%3a+0.5pt+%3bborder-right-width%3a+1.0pt+%3bborder-bottom-width%3a+0.5pt+%3bborder-top-color%3a+%23376091+%3bborder-left-color%3a+Black+%3bborder-right-color%3a+%23376091+%3bborder-bottom-color%3a+Black+%3bbackground-color%3a%23FAFBF7%3b+text-align%3aleft%3bvertical-align%3amiddle%3b%7d%0a.Class1463%7bfont-family%3a+Calibri%3b+font-size%3a11pt%3b+color%3aBlack%3btext-decoration%3anone%3bborder-left-style%3a+Solid+%3bborder-top-width%3a+0.5pt+%3bborder-left-width%3a+1.0pt+%3bborder-right-width%3a+0.5pt+%3bborder-bottom-width%3a+0.5pt+%3bborder-top-color%3a+Black+%3bborder-left-color%3a+%23376091+%3bborder-right-color%3a+Black+%3bborder-bottom-color%3a+Black+%3bbackground-color%3aWhite%3b+text-align%3aleft%3bvertical-align%3abottom%3b%7d%0a.Class1464%7bfont-family%3a+Calibri%3b+font-size%3a11pt%3b+color%3aBlack%3btext-decoration%3anone%3bborder-left-style%3a+Solid+%3bborder-top-width%3a+0.5pt+%3bborder-left-width%3a+1.0pt+%3bborder-right-width%3a+0.5pt+%3bborder-bottom-width%3a+0.5pt+%3bborder-top-color%3a+Black+%3bborder-left-color%3a+%23376091+%3bborder-right-color%3a+Black+%3bborder-bottom-color%3a+Black+%3bbackground-color%3a%23FAFBF7%3b+text-align%3aleft%3bvertical-align%3amiddle%3b%7d%0a.Class1465%7bfont-family%3a+Calibri%3b+font-size%3a14pt%3b+color%3a%23376091%3bfont-weight%3a+bold%3btext-decoration%3anone%3bborder%3a+0.5pt++None++Black+%3bbackground-color%3a%23FAFBF7%3b+text-align%3acenter%3bvertical-align%3amiddle%3b%7d%0a.Class1466%7bfont-family%3a+Calibri%3b+font-size%3a11pt%3b+color%3aBlack%3bfont-weight%3a+bold%3btext-decoration%3anone%3bborder-right-style%3a+Solid+%3bborder-top-width%3a+0.5pt+%3bborder-left-width%3a+0.5pt+%3bborder-right-width%3a+1.0pt+%3bborder-bottom-width%3a+0.5pt+%3bborder-top-color%3a+Black+%3bborder-left-color%3a+Black+%3bborder-right-color%3a+%23376091+%3bborder-bottom-color%3a+Black+%3bbackground-color%3a%23FAFBF7%3b+text-align%3acenter%3bvertical-align%3amiddle%3b%7d%0a.Class1467%7bfont-family%3a+Calibri%3b+font-size%3a11pt%3b+color%3aBlack%3btext-decoration%3anone%3bborder%3a+0.5pt++None++Black+%3bbackground-color%3a%23FAFBF7%3b+text-align%3aleft%3bvertical-align%3amiddle%3b%7d%0a.Class1468%7bfont-family%3a+Calibri%3b+font-size%3a11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23376091+%3bborder-bottom-color%3a+Black+%3bbackground-color%3a%23FAFBF7%3b+text-align%3aleft%3bvertical-align%3amiddle%3b%7d%0a.Class1469%7bfont-family%3a+Calibri%3b+font-size%3a11pt%3b+color%3aBlack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23376091+%3bbackground-color%3a%23FAFBF7%3b+text-align%3aleft%3bvertical-align%3amiddle%3b%7d%0a.Class1470%7bfont-family%3a+Calibri%3b+font-size%3a11pt%3b+color%3aBlack%3btext-decoration%3anone%3bborder-left-style%3a+Solid+%3bborder-right-style%3a+Solid+%3bborder-top-width%3a+0.5pt+%3bborder-left-width%3a+1.0pt+%3bborder-right-width%3a+1.0pt+%3bborder-bottom-width%3a+0.5pt+%3bborder-top-color%3a+Black+%3bborder-left-color%3a+%23376091+%3bborder-right-color%3a+%23376091+%3bborder-bottom-color%3a+Black+%3bbackground-color%3a%23FAFBF7%3b+text-align%3aleft%3bvertical-align%3amiddle%3b%7d%0a.Class1471%7bfont-family%3a+Calibri%3b+font-size%3a11pt%3b+color%3aBlack%3btext-decoration%3anone%3bborder-style%3a+Solid+%3bborder-top-width%3a+1.0pt+%3bborder-left-width%3a+1.0pt+%3bborder-right-width%3a+0.5pt+%3bborder-bottom-width%3a+1.0pt+%3bborder-color%3a+%23376091+%3bbackground-color%3a%23DBE5F1%3b+text-align%3aleft%3bvertical-align%3amiddle%3b%7d%0a.Class1472%7bfont-family%3a+Calibri%3b+font-size%3a11pt%3b+color%3aBlack%3btext-decoration%3anone%3bborder-top-style%3a+Solid+%3bborder-left-style%3a+Solid+%3bborder-bottom-style%3a+Solid+%3bborder-top-width%3a+1.0pt+%3bborder-left-width%3a+0.5pt+%3bborder-right-width%3a+0.5pt+%3bborder-bottom-width%3a+1.0pt+%3bborder-top-color%3a+%23376091+%3bborder-left-color%3a+%23376091+%3bborder-right-color%3a+Black+%3bborder-bottom-color%3a+%23376091+%3bbackground-color%3aWhite%3b+text-align%3acenter%3bvertical-align%3amiddle%3b%7d%0a.Class1473%7bfont-family%3a+Calibri%3b+font-size%3a11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23376091+%3bborder-bottom-color%3a+Black+%3bbackground-color%3aWhite%3b+text-align%3aleft%3bvertical-align%3abottom%3b%7d%0a.Class1474%7bfont-family%3a+Calibri%3b+font-size%3a11pt%3b+color%3aRed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23376091+%3bbackground-color%3a%23FAFBF7%3b+text-align%3aleft%3bvertical-align%3amiddle%3b%7d%0a.Class1475%7bfont-family%3a+Calibri%3b+font-size%3a11pt%3b+color%3aBlack%3btext-decoration%3anone%3bborder-top-style%3a+Solid+%3bborder-bottom-style%3a+Solid+%3bborder-top-width%3a+1.0pt+%3bborder-left-width%3a+0.5pt+%3bborder-right-width%3a+0.5pt+%3bborder-bottom-width%3a+1.0pt+%3bborder-top-color%3a+%23376091+%3bborder-left-color%3a+Black+%3bborder-right-color%3a+Black+%3bborder-bottom-color%3a+%23376091+%3bbackground-color%3a%23FAFBF7%3b+text-align%3aleft%3bvertical-align%3amiddle%3b%7d%0a.Class1476%7bfont-family%3a+Calibri%3b+font-size%3a11pt%3b+color%3aBlack%3btext-decoration%3anone%3bborder%3a+0.5pt++None++Black+%3bbackground-color%3a%23FAFBF7%3b+text-align%3aleft%3bvertical-align%3abottom%3b%7d%0a.Class1477%7bfont-family%3a+Calibri%3b+font-size%3a12pt%3b+color%3a%23376091%3bfont-weight%3a+bold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23376091+%3bbackground-color%3a%23FAFBF7%3b+text-align%3aleft%3bvertical-align%3amiddle%3b%7d%0a.Class1478%7bfont-family%3a+Calibri%3b+font-size%3a11pt%3b+color%3aBlack%3btext-decoration%3anone%3bborder-left-style%3a+Solid+%3bborder-right-style%3a+Solid+%3bborder-top-width%3a+0.5pt+%3bborder-left-width%3a+1.0pt+%3bborder-right-width%3a+1.0pt+%3bborder-bottom-width%3a+0.5pt+%3bborder-top-color%3a+Black+%3bborder-left-color%3a+%23376091+%3bborder-right-color%3a+%23376091+%3bborder-bottom-color%3a+Black+%3bbackground-color%3a%23FAFBF7%3b+text-align%3aleft%3bvertical-align%3abottom%3b%7d%0a.Class1479%7bfont-family%3a+Calibri%3b+font-size%3a11pt%3b+color%3aWhite%3bfont-weight%3a+bold%3btext-decoration%3anone%3bborder-top-style%3a+Solid+%3bborder-left-style%3a+Solid+%3bborder-right-style%3a+Solid+%3bborder-top-width%3a+1.0pt+%3bborder-left-width%3a+1.0pt+%3bborder-right-width%3a+0.5pt+%3bborder-bottom-width%3a+0.5pt+%3bborder-top-color%3a+%23376091+%3bborder-left-color%3a+%23376091+%3bborder-right-color%3a+%23376091+%3bborder-bottom-color%3a+Black+%3bbackground-color%3a%2331849B%3b+text-align%3acenter%3bvertical-align%3abottom%3b%7d%0a.Class1480%7bfont-family%3a+Calibri%3b+font-size%3a11pt%3b+color%3aWhite%3bfont-weight%3a+bold%3btext-decoration%3anone%3bborder-top-style%3a+Solid+%3bborder-left-style%3a+Solid+%3bborder-right-style%3a+Solid+%3bborder-top-width%3a+1.0pt+%3bborder-left-width%3a+0.5pt+%3bborder-right-width%3a+0.5pt+%3bborder-bottom-width%3a+0.5pt+%3bborder-top-color%3a+%23376091+%3bborder-left-color%3a+%23376091+%3bborder-right-color%3a+%23376091+%3bborder-bottom-color%3a+Black+%3bbackground-color%3a%2331849B%3b+text-align%3aleft%3bvertical-align%3abottom%3b%7d%0a.Class1481%7bfont-family%3a+Calibri%3b+font-size%3a11pt%3b+color%3aWhite%3bfont-weight%3a+bold%3btext-decoration%3anone%3bborder-top-style%3a+Solid+%3bborder-left-style%3a+Solid+%3bborder-right-style%3a+Solid+%3bborder-top-width%3a+1.0pt+%3bborder-left-width%3a+0.5pt+%3bborder-right-width%3a+0.5pt+%3bborder-bottom-width%3a+0.5pt+%3bborder-top-color%3a+%23376091+%3bborder-left-color%3a+%23376091+%3bborder-right-color%3a+%23376091+%3bborder-bottom-color%3a+Black+%3bbackground-color%3a%2331849B%3b+text-align%3acenter%3bvertical-align%3abottom%3b%7d%0a.Class1482%7bfont-family%3a+Calibri%3b+font-size%3a11pt%3b+color%3aWhite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2331849B%3b+text-align%3acenter%3bvertical-align%3abottom%3b%7d%0a.Class1483%7bfont-family%3a+Calibri%3b+font-size%3a11pt%3b+color%3aBlack%3btext-decoration%3anone%3bborder-left-style%3a+Solid+%3bborder-top-width%3a+0.5pt+%3bborder-left-width%3a+1.0pt+%3bborder-right-width%3a+0.5pt+%3bborder-bottom-width%3a+0.5pt+%3bborder-top-color%3a+Black+%3bborder-left-color%3a+%23376091+%3bborder-right-color%3a+Black+%3bborder-bottom-color%3a+Black+%3bbackground-color%3a%23FAFBF7%3b+text-align%3aleft%3bvertical-align%3abottom%3b%7d%0a.Class1484%7bfont-family%3a+Calibri%3b+font-size%3a11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23376091+%3bborder-bottom-color%3a+Black+%3bbackground-color%3a%23FAFBF7%3b+text-align%3aleft%3bvertical-align%3abottom%3b%7d%0a.Class1485%7bfont-family%3a+Calibri%3b+font-size%3a11pt%3b+color%3aBlack%3btext-decoration%3anone%3bborder-style%3a+Solid+%3bborder-top-width%3a+1.0pt+%3bborder-left-width%3a+1.0pt+%3bborder-right-width%3a+0.5pt+%3bborder-bottom-width%3a+0.5pt+%3bborder-color%3a+%23376091+%3bbackground-color%3a%23DBEEF3%3b+text-align%3acenter%3bvertical-align%3amiddle%3b%7d%0a.Class1486%7bfont-family%3a+Calibri%3b+font-size%3a11pt%3b+color%3aBlack%3btext-decoration%3anone%3bborder-style%3a+Solid+%3bborder-top-width%3a+1.0pt+%3bborder-left-width%3a+0.5pt+%3bborder-right-width%3a+0.5pt+%3bborder-bottom-width%3a+0.5pt+%3bborder-color%3a+%23376091+%3bbackground-color%3aWhite%3b+text-align%3aleft%3bvertical-align%3amiddle%3b%7d%0a.Class1487%7bfont-family%3a+Calibri%3b+font-size%3a11pt%3b+color%3aBlack%3btext-decoration%3anone%3bborder-style%3a+Solid+%3bborder-top-width%3a+1.0pt+%3bborder-left-width%3a+0.5pt+%3bborder-right-width%3a+0.5pt+%3bborder-bottom-width%3a+0.5pt+%3bborder-color%3a+%23376091+%3bbackground-color%3aWhite%3b+text-align%3acenter%3bvertical-align%3amiddle%3b%7d%0a.Class1488%7bfont-family%3a+Calibri%3b+font-size%3a11pt%3b+color%3aBlack%3btext-decoration%3anone%3bborder-style%3a+Solid+%3bborder-top-width%3a+1.0pt+%3bborder-left-width%3a+0.5pt+%3bborder-right-width%3a+0.5pt+%3bborder-bottom-width%3a+0.5pt+%3bborder-color%3a+%23376091+%3bbackground-color%3a%23DBEEF3%3b+text-align%3acenter%3bvertical-align%3amiddle%3b%7d%0a.Class1489%7bfont-family%3a+Calibri%3b+font-size%3a11pt%3b+color%3aWhite%3btext-decoration%3anone%3bborder-left-style%3a+Solid+%3bborder-right-style%3a+Solid+%3bborder-top-width%3a+0.5pt+%3bborder-left-width%3a+1.0pt+%3bborder-right-width%3a+1.0pt+%3bborder-bottom-width%3a+0.5pt+%3bborder-top-color%3a+Black+%3bborder-left-color%3a+%23376091+%3bborder-right-color%3a+%23376091+%3bborder-bottom-color%3a+Black+%3bbackground-color%3a%23FAFBF7%3b+text-align%3aleft%3bvertical-align%3amiddle%3b%7d%0a.Class1490%7bfont-family%3a+Calibri%3b+font-size%3a11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DBEEF3%3b+text-align%3acenter%3bvertical-align%3amiddle%3b%7d%0a.Class1491%7bfont-family%3a+Calibri%3b+font-size%3a11pt%3b+color%3aBlack%3btext-decoration%3anone%3bborder-left-style%3a+Solid+%3bborder-top-width%3a+0.5pt+%3bborder-left-width%3a+1.0pt+%3bborder-right-width%3a+0.5pt+%3bborder-bottom-width%3a+0.5pt+%3bborder-top-color%3a+Black+%3bborder-left-color%3a+%23376091+%3bborder-right-color%3a+Black+%3bborder-bottom-color%3a+Black+%3bbackground-color%3aWhite%3b+text-align%3aleft%3bvertical-align%3amiddle%3b%7d%0a.Class1492%7bfont-family%3a+Calibri%3b+font-size%3a11pt%3b+color%3aBlack%3btext-decoration%3anone%3bborder-style%3a+Solid+%3bborder-top-width%3a+0.5pt+%3bborder-left-width%3a+1.0pt+%3bborder-right-width%3a+0.5pt+%3bborder-bottom-width%3a+0.5pt+%3bborder-color%3a+%23376091+%3bbackground-color%3a%23EEECE1%3b+text-align%3acenter%3bvertical-align%3amiddle%3b%7d%0a.Class1493%7bfont-family%3a+Calibri%3b+font-size%3a11pt%3b+color%3aBlack%3btext-decoration%3anone%3bborder%3a+0.5pt++Solid++%23376091+%3bbackground-color%3aWhite%3b+text-align%3aleft%3bvertical-align%3amiddle%3b%7d%0a.Class1494%7bfont-family%3a+Calibri%3b+font-size%3a11pt%3b+color%3aBlack%3btext-decoration%3anone%3bborder%3a+0.5pt++Solid++%23376091+%3bbackground-color%3aWhite%3b+text-align%3acenter%3bvertical-align%3amiddle%3b%7d%0a.Class1495%7bfont-family%3a+Calibri%3b+font-size%3a11pt%3b+color%3aBlack%3btext-decoration%3anone%3bborder%3a+0.5pt++Solid++%23376091+%3bbackground-color%3a%23EEECE1%3b+text-align%3acenter%3bvertical-align%3amiddle%3b%7d%0a.Class1496%7bfont-family%3a+Calibri%3b+font-size%3a11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EEECE1%3b+text-align%3acenter%3bvertical-align%3amiddle%3b%7d%0a.Class1497%7bfont-family%3a+Calibri%3b+font-size%3a11pt%3b+color%3a%23376091%3btext-decoration%3anone%3bborder-left-style%3a+Solid+%3bborder-top-width%3a+0.5pt+%3bborder-left-width%3a+1.0pt+%3bborder-right-width%3a+0.5pt+%3bborder-bottom-width%3a+0.5pt+%3bborder-top-color%3a+Black+%3bborder-left-color%3a+%23376091+%3bborder-right-color%3a+Black+%3bborder-bottom-color%3a+Black+%3bbackground-color%3a%23FAFBF7%3b+text-align%3acenter%3bvertical-align%3amiddle%3b%7d%0a.Class1498%7bfont-family%3a+Calibri%3b+font-size%3a11pt%3b+color%3aBlack%3btext-decoration%3anone%3bborder-style%3a+Solid+%3bborder-top-width%3a+0.5pt+%3bborder-left-width%3a+1.0pt+%3bborder-right-width%3a+0.5pt+%3bborder-bottom-width%3a+0.5pt+%3bborder-color%3a+%23376091+%3bbackground-color%3a%23E7E4D5%3b+text-align%3acenter%3bvertical-align%3amiddle%3b%7d%0a.Class1499%7bfont-family%3a+Calibri%3b+font-size%3a11pt%3b+color%3aBlack%3btext-decoration%3anone%3bborder%3a+0.5pt++Solid++%23376091+%3bbackground-color%3a%23E7E4D5%3b+text-align%3acenter%3bvertical-align%3amiddle%3b%7d%0a.Class1500%7bfont-family%3a+Calibri%3b+font-size%3a11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E7E4D5%3b+text-align%3acenter%3bvertical-align%3amiddle%3b%7d%0a.Class1501%7bfont-family%3a+Calibri%3b+font-size%3a11pt%3b+color%3aBlack%3btext-decoration%3anone%3bborder-style%3a+Solid+%3bborder-top-width%3a+0.5pt+%3bborder-left-width%3a+1.0pt+%3bborder-right-width%3a+0.5pt+%3bborder-bottom-width%3a+0.5pt+%3bborder-color%3a+%23376091+%3bbackground-color%3a%23DFDBC7%3b+text-align%3acenter%3bvertical-align%3amiddle%3b%7d%0a.Class1502%7bfont-family%3a+Calibri%3b+font-size%3a11pt%3b+color%3aBlack%3btext-decoration%3anone%3bborder%3a+0.5pt++Solid++%23376091+%3bbackground-color%3a%23DFDBC7%3b+text-align%3acenter%3bvertical-align%3amiddle%3b%7d%0a.Class1503%7bfont-family%3a+Calibri%3b+font-size%3a11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DFDBC7%3b+text-align%3acenter%3bvertical-align%3amiddle%3b%7d%0a.Class1504%7bfont-family%3a+Calibri%3b+font-size%3a11pt%3b+color%3aBlack%3btext-decoration%3anone%3bborder-style%3a+Solid+%3bborder-top-width%3a+0.5pt+%3bborder-left-width%3a+1.0pt+%3bborder-right-width%3a+0.5pt+%3bborder-bottom-width%3a+0.5pt+%3bborder-color%3a+%23376091+%3bbackground-color%3a%23D8D3BA%3b+text-align%3acenter%3bvertical-align%3amiddle%3b%7d%0a.Class1505%7bfont-family%3a+Calibri%3b+font-size%3a11pt%3b+color%3aBlack%3btext-decoration%3anone%3bborder%3a+0.5pt++Solid++%23376091+%3bbackground-color%3a%23D8D3BA%3b+text-align%3acenter%3bvertical-align%3amiddle%3b%7d%0a.Class1506%7bfont-family%3a+Calibri%3b+font-size%3a11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D8D3BA%3b+text-align%3acenter%3bvertical-align%3amiddle%3b%7d%0a.Class1507%7bfont-family%3a+Calibri%3b+font-size%3a11pt%3b+color%3aBlack%3btext-decoration%3anone%3bborder-style%3a+Solid+%3bborder-top-width%3a+0.5pt+%3bborder-left-width%3a+1.0pt+%3bborder-right-width%3a+0.5pt+%3bborder-bottom-width%3a+1.0pt+%3bborder-color%3a+%23376091+%3bbackground-color%3a%23D0CAAC%3b+text-align%3acenter%3bvertical-align%3amiddle%3b%7d%0a.Class1508%7bfont-family%3a+Calibri%3b+font-size%3a11pt%3b+color%3aBlack%3btext-decoration%3anone%3bborder-style%3a+Solid+%3bborder-top-width%3a+0.5pt+%3bborder-left-width%3a+0.5pt+%3bborder-right-width%3a+0.5pt+%3bborder-bottom-width%3a+1.0pt+%3bborder-color%3a+%23376091+%3bbackground-color%3aWhite%3b+text-align%3aleft%3bvertical-align%3amiddle%3b%7d%0a.Class1509%7bfont-family%3a+Calibri%3b+font-size%3a11pt%3b+color%3aBlack%3btext-decoration%3anone%3bborder-style%3a+Solid+%3bborder-top-width%3a+0.5pt+%3bborder-left-width%3a+0.5pt+%3bborder-right-width%3a+0.5pt+%3bborder-bottom-width%3a+1.0pt+%3bborder-color%3a+%23376091+%3bbackground-color%3aWhite%3b+text-align%3acenter%3bvertical-align%3amiddle%3b%7d%0a.Class1510%7bfont-family%3a+Calibri%3b+font-size%3a11pt%3b+color%3aBlack%3btext-decoration%3anone%3bborder-style%3a+Solid+%3bborder-top-width%3a+0.5pt+%3bborder-left-width%3a+0.5pt+%3bborder-right-width%3a+0.5pt+%3bborder-bottom-width%3a+1.0pt+%3bborder-color%3a+%23376091+%3bbackground-color%3a%23D0CAAC%3b+text-align%3acenter%3bvertical-align%3amiddle%3b%7d%0a.Class1511%7bfont-family%3a+Calibri%3b+font-size%3a11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D0CAAC%3b+text-align%3acenter%3bvertical-align%3amiddle%3b%7d%0a.Class1512%7bfont-family%3a+Calibri%3b+font-size%3a11pt%3b+color%3aRe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FAFBF7%3b+text-align%3aleft%3bvertical-align%3amiddle%3b%7d%0a.Class1513%7bfont-family%3a+Calibri%3b+font-size%3a11pt%3b+color%3aBlack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FAFBF7%3b+text-align%3acenter%3bvertical-align%3amiddle%3b%7d%0a.Class1514%7bfont-family%3a+Calibri%3b+font-size%3a11pt%3b+color%3aBlack%3btext-decoration%3anone%3bborder%3a+0.5pt++None++Black+%3bbackground-color%3a%23FAFBF7%3b+text-align%3acenter%3bvertical-align%3amiddle%3b%7d%0a.Class1515%7bfont-family%3a+Calibri%3b+font-size%3a11pt%3b+color%3a%23376091%3bfont-weight%3a+bold%3btext-decoration%3anone%3bborder-bottom-style%3a+Solid+%3bborder-width%3a+0.5pt+%3bborder-top-color%3a+Black+%3bborder-left-color%3a+Black+%3bborder-right-color%3a+Black+%3bborder-bottom-color%3a+%23376091+%3bbackground-color%3a%23FAFBF7%3b+text-align%3aleft%3bvertical-align%3amiddle%3b%7d%0a.Class1516%7bfont-family%3a+Calibri%3b+font-size%3a12pt%3b+color%3a%23376091%3bfont-weight%3a+bold%3btext-decoration%3anone%3bborder-top-style%3a+Solid+%3bborder-width%3a+0.5pt+%3bborder-top-color%3a+%23376091+%3bborder-left-color%3a+Black+%3bborder-right-color%3a+Black+%3bborder-bottom-color%3a+Black+%3bbackground-color%3a%23FAFBF7%3b+text-align%3aleft%3bvertical-align%3amiddle%3b%7d%0a.Class1517%7bfont-family%3a+Calibri%3b+font-size%3a11pt%3b+color%3aBlack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23376091+%3bbackground-color%3a%23FAFBF7%3b+text-align%3acenter%3bvertical-align%3amiddle%3b%7d%0a.Class1518%7bfont-family%3a+Calibri%3b+font-size%3a11pt%3b+color%3aBlack%3btext-decoration%3anone%3bborder-right-style%3a+Solid+%3bborder-bottom-style%3a+Solid+%3bborder-top-width%3a+0.5pt+%3bborder-left-width%3a+0.5pt+%3bborder-right-width%3a+1.0pt+%3bborder-bottom-width%3a+1.0pt+%3bborder-top-color%3a+Black+%3bborder-left-color%3a+Black+%3bborder-right-color%3a+%23376091+%3bborder-bottom-color%3a+%23376091+%3bbackground-color%3a%23FAFBF7%3b+text-align%3aleft%3bvertical-align%3amiddle%3b%7d%0a.Class1519%7bfont-family%3a+Calibri%3b+font-size%3a11pt%3b+color%3aBlack%3bfont-weight%3a+bold%3btext-decoration%3anone%3bborder-top-style%3a+Solid+%3bborder-left-style%3a+Solid+%3bborder-bottom-style%3a+Solid+%3bborder-top-width%3a+1.0pt+%3bborder-left-width%3a+1.0pt+%3bborder-right-width%3a+0.5pt+%3bborder-bottom-width%3a+1.0pt+%3bborder-top-color%3a+%23376091+%3bborder-left-color%3a+%23376091+%3bborder-right-color%3a+Black+%3bborder-bottom-color%3a+%23376091+%3bbackground-color%3a%23EEECE1%3b+text-align%3acenter%3bvertical-align%3amiddle%3b%7d%0a.Class1520%7bfont-family%3a+Calibri%3b+font-size%3a11pt%3b+color%3aBlack%3bfont-weight%3a+bold%3btext-decoration%3anone%3bborder-top-style%3a+Solid+%3bborder-left-style%3a+Solid+%3bborder-bottom-style%3a+Solid+%3bborder-top-width%3a+1.0pt+%3bborder-left-width%3a+1.0pt+%3bborder-right-width%3a+0.5pt+%3bborder-bottom-width%3a+1.0pt+%3bborder-top-color%3a+%23376091+%3bborder-left-color%3a+%23376091+%3bborder-right-color%3a+Black+%3bborder-bottom-color%3a+%23376091+%3bbackground-color%3a%23E7E4D5%3b+text-align%3acenter%3bvertical-align%3amiddle%3b%7d%0a.Class1521%7bfont-family%3a+Calibri%3b+font-size%3a11pt%3b+color%3aBlack%3bfont-weight%3a+bold%3btext-decoration%3anone%3bborder-top-style%3a+Solid+%3bborder-left-style%3a+Solid+%3bborder-bottom-style%3a+Solid+%3bborder-top-width%3a+1.0pt+%3bborder-left-width%3a+1.0pt+%3bborder-right-width%3a+0.5pt+%3bborder-bottom-width%3a+1.0pt+%3bborder-top-color%3a+%23376091+%3bborder-left-color%3a+%23376091+%3bborder-right-color%3a+Black+%3bborder-bottom-color%3a+%23376091+%3bbackground-color%3a%23DFDBC7%3b+text-align%3acenter%3bvertical-align%3amiddle%3b%7d%0a.Class1522%7bfont-family%3a+Calibri%3b+font-size%3a11pt%3b+color%3aBlack%3bfont-weight%3a+bold%3btext-decoration%3anone%3bborder-top-style%3a+Solid+%3bborder-left-style%3a+Solid+%3bborder-bottom-style%3a+Solid+%3bborder-top-width%3a+1.0pt+%3bborder-left-width%3a+1.0pt+%3bborder-right-width%3a+0.5pt+%3bborder-bottom-width%3a+1.0pt+%3bborder-top-color%3a+%23376091+%3bborder-left-color%3a+%23376091+%3bborder-right-color%3a+Black+%3bborder-bottom-color%3a+%23376091+%3bbackground-color%3a%23D8D3BA%3b+text-align%3acenter%3bvertical-align%3amiddle%3b%7d%0a.Class1523%7bfont-family%3a+Calibri%3b+font-size%3a11pt%3b+color%3aBlack%3bfont-weight%3a+bold%3btext-decoration%3anone%3bborder-top-style%3a+Solid+%3bborder-left-style%3a+Solid+%3bborder-bottom-style%3a+Solid+%3bborder-top-width%3a+1.0pt+%3bborder-left-width%3a+1.0pt+%3bborder-right-width%3a+0.5pt+%3bborder-bottom-width%3a+1.0pt+%3bborder-top-color%3a+%23376091+%3bborder-left-color%3a+%23376091+%3bborder-right-color%3a+Black+%3bborder-bottom-color%3a+%23376091+%3bbackground-color%3a%23D0CAAC%3b+text-align%3acenter%3bvertical-align%3amiddle%3b%7d%0a.Class1524%7bfont-family%3a+Calibri%3b+font-size%3a10pt%3b+color%3aBlack%3btext-decoration%3anone%3bborder-left-style%3a+Solid+%3bborder-right-style%3a+Solid+%3bborder-top-width%3a+0.5pt+%3bborder-left-width%3a+1.0pt+%3bborder-right-width%3a+1.0pt+%3bborder-bottom-width%3a+0.5pt+%3bborder-top-color%3a+Black+%3bborder-left-color%3a+%23376091+%3bborder-right-color%3a+%23376091+%3bborder-bottom-color%3a+Black+%3bbackground-color%3a%23FAFBF7%3b+text-align%3aleft%3bvertical-align%3abottom%3b%7d%0a.Class1525%7bfont-family%3a+Calibri%3b+font-size%3a10pt%3b+color%3aWhite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2331849B%3b+text-align%3acenter%3bvertical-align%3abottom%3b%7d%0a.Class1526%7bfont-family%3a+Calibri%3b+font-size%3a10pt%3b+color%3aWhite%3bfont-weight%3a+bol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2331849B%3b+text-align%3acenter%3bvertical-align%3abottom%3b%7d%0a.Class1527%7bfont-family%3a+Calibri%3b+font-size%3a10pt%3b+color%3aBlack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EEECE1%3b+text-align%3aright%3bvertical-align%3abottom%3b%7d%0a.Class1528%7bfont-family%3a+Calibri%3b+font-size%3a10pt%3b+color%3aBlack%3bfont-weight%3a+bol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EEECE1%3b+text-align%3aright%3bvertical-align%3abottom%3b%7d%0a.Class1529%7bfont-family%3a+Calibri%3b+font-size%3a10pt%3b+color%3aBlack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E7E4D5%3b+text-align%3aright%3bvertical-align%3abottom%3b%7d%0a.Class1530%7bfont-family%3a+Calibri%3b+font-size%3a10pt%3b+color%3aBlack%3bfont-weight%3a+bol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E7E4D5%3b+text-align%3aright%3bvertical-align%3abottom%3b%7d%0a.Class1531%7bfont-family%3a+Calibri%3b+font-size%3a10pt%3b+color%3aBlack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DFDBC7%3b+text-align%3aright%3bvertical-align%3abottom%3b%7d%0a.Class1532%7bfont-family%3a+Calibri%3b+font-size%3a10pt%3b+color%3aBlack%</t>
  </si>
  <si>
    <t xml:space="preserve"> 3bfont-weight%3a+bol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DFDBC7%3b+text-align%3aright%3bvertical-align%3abottom%3b%7d%0a.Class1533%7bfont-family%3a+Calibri%3b+font-size%3a10pt%3b+color%3aBlack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D8D3BA%3b+text-align%3aright%3bvertical-align%3abottom%3b%7d%0a.Class1534%7bfont-family%3a+Calibri%3b+font-size%3a10pt%3b+color%3aBlack%3bfont-weight%3a+bol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D8D3BA%3b+text-align%3aright%3bvertical-align%3abottom%3b%7d%0a.Class1535%7bfont-family%3a+Calibri%3b+font-size%3a10pt%3b+color%3aBlack%3bfont-weight%3a+bold%3btext-decoration%3anone%3bborder-top-style%3a+Solid+%3bborder-left-style%3a+Solid+%3bborder-top-width%3a+1.0pt+%3bborder-left-width%3a+1.0pt+%3bborder-right-width%3a+0.5pt+%3bborder-bottom-width%3a+0.5pt+%3bborder-top-color%3a+%23376091+%3bborder-left-color%3a+%23376091+%3bborder-right-color%3a+Black+%3bborder-bottom-color%3a+Black+%3bbackground-color%3a%23D0CAAC%3b+text-align%3aright%3bvertical-align%3abottom%3b%7d%0a.Class1536%7bfont-family%3a+Calibri%3b+font-size%3a10pt%3b+color%3aBlack%3bfont-weight%3a+bold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%23D0CAAC%3b+text-align%3aright%3bvertical-align%3abottom%3b%7d%0a.Class1537%7bfont-family%3a+Calibri%3b+font-size%3a10pt%3b+color%3aBlack%3btext-decoration%3anone%3bborder-left-style%3a+Solid+%3bborder-right-style%3a+Solid+%3bborder-top-width%3a+0.5pt+%3bborder-left-width%3a+1.0pt+%3bborder-right-width%3a+1.0pt+%3bborder-bottom-width%3a+0.5pt+%3bborder-top-color%3a+Black+%3bborder-left-color%3a+%23376091+%3bborder-right-color%3a+%23376091+%3bborder-bottom-color%3a+Black+%3bbackground-color%3a%23FAFBF7%3b+text-align%3aleft%3bvertical-align%3amiddle%3b%7d%0a.Class1538%7bfont-family%3a+Arial%3b+font-size%3a9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FAFBF7%3b+text-align%3acenter%3bvertical-align%3amiddle%3b%7d%0a.Class1539%7bfont-family%3a+Arial%3b+font-size%3a9pt%3b+color%3aBlack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FAFBF7%3b+text-align%3acenter%3bvertical-align%3amiddle%3b%7d%0a.Class1540%7bfont-family%3a+Arial%3b+font-size%3a9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EEECE1%3b+text-align%3aright%3bvertical-align%3amiddle%3b%7d%0a.Class1541%7bfont-family%3a+Arial%3b+font-size%3a9pt%3b+color%3aBlack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EEECE1%3b+text-align%3aright%3bvertical-align%3amiddle%3b%7d%0a.Class1542%7bfont-family%3a+Arial%3b+font-size%3a9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E7E4D5%3b+text-align%3aright%3bvertical-align%3amiddle%3b%7d%0a.Class1543%7bfont-family%3a+Arial%3b+font-size%3a9pt%3b+color%3aBlack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E7E4D5%3b+text-align%3aright%3bvertical-align%3amiddle%3b%7d%0a.Class1544%7bfont-family%3a+Arial%3b+font-size%3a9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DFDBC7%3b+text-align%3aright%3bvertical-align%3amiddle%3b%7d%0a.Class1545%7bfont-family%3a+Arial%3b+font-size%3a9pt%3b+color%3aBlack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DFDBC7%3b+text-align%3aright%3bvertical-align%3amiddle%3b%7d%0a.Class1546%7bfont-family%3a+Arial%3b+font-size%3a9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D8D3BA%3b+text-align%3aright%3bvertical-align%3amiddle%3b%7d%0a.Class1547%7bfont-family%3a+Arial%3b+font-size%3a9pt%3b+color%3aBlack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D8D3BA%3b+text-align%3aright%3bvertical-align%3amiddle%3b%7d%0a.Class1548%7bfont-family%3a+Arial%3b+font-size%3a9pt%3b+color%3aBlack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D0CAAC%3b+text-align%3aright%3bvertical-align%3amiddle%3b%7d%0a.Class1549%7bfont-family%3a+Arial%3b+font-size%3a9pt%3b+color%3aBlack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D0CAAC%3b+text-align%3aright%3bvertical-align%3amiddle%3b%7d%0a.Class1550%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FAFBF7%3b+text-align%3acenter%3bvertical-align%3amiddle%3b%7d%0a.Class1551%7bfont-family%3a+Arial%3b+font-size%3a9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FAFBF7%3b+text-align%3acenter%3bvertical-align%3amiddle%3b%7d%0a.Class1552%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EEECE1%3b+text-align%3aright%3bvertical-align%3amiddle%3b%7d%0a.Class1553%7bfont-family%3a+Arial%3b+font-size%3a9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EEECE1%3b+text-align%3aright%3bvertical-align%3amiddle%3b%7d%0a.Class1554%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E7E4D5%3b+text-align%3aright%3bvertical-align%3amiddle%3b%7d%0a.Class1555%7bfont-family%3a+Arial%3b+font-size%3a9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E7E4D5%3b+text-align%3aright%3bvertical-align%3amiddle%3b%7d%0a.Class1556%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DFDBC7%3b+text-align%3aright%3bvertical-align%3amiddle%3b%7d%0a.Class1557%7bfont-family%3a+Arial%3b+font-size%3a9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DFDBC7%3b+text-align%3aright%3bvertical-align%3amiddle%3b%7d%0a.Class1558%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D8D3BA%3b+text-align%3aright%3bvertical-align%3amiddle%3b%7d%0a.Class1559%7bfont-family%3a+Arial%3b+font-size%3a9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D8D3BA%3b+text-align%3aright%3bvertical-align%3amiddle%3b%7d%0a.Class1560%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+0.5pt+%3bborder-top-color%3a+%23376091+%3bborder-left-color%3a+%23376091+%3bborder-right-color%3a+Black+%3bborder-bottom-color%3a+%23376091+%3bbackground-color%3a%23D0CAAC%3b+text-align%3aright%3bvertical-align%3amiddle%3b%7d%0a.Class1561%7bfont-family%3a+Arial%3b+font-size%3a9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D0CAAC%3b+text-align%3aright%3bvertical-align%3amiddle%3b%7d%0a.Class1562%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FAFBF7%3b+text-align%3acenter%3bvertical-align%3amiddle%3b%7d%0a.Class1563%7bfont-family%3a+Arial%3b+font-size%3a9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FAFBF7%3b+text-align%3acenter%3bvertical-align%3amiddle%3b%7d%0a.Class1564%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EEECE1%3b+text-align%3aright%3bvertical-align%3amiddle%3b%7d%0a.Class1565%7bfont-family%3a+Arial%3b+font-size%3a9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EEECE1%3b+text-align%3aright%3bvertical-align%3amiddle%3b%7d%0a.Class1566%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E7E4D5%3b+text-align%3aright%3bvertical-align%3amiddle%3b%7d%0a.Class1567%7bfont-family%3a+Arial%3b+font-size%3a9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E7E4D5%3b+text-align%3aright%3bvertical-align%3amiddle%3b%7d%0a.Class1568%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DFDBC7%3b+text-align%3aright%3bvertical-align%3amiddle%3b%7d%0a.Class1569%7bfont-family%3a+Arial%3b+font-size%3a9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DFDBC7%3b+text-align%3aright%3bvertical-align%3amiddle%3b%7d%0a.Class1570%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D8D3BA%3b+text-align%3aright%3bvertical-align%3amiddle%3b%7d%0a.Class1571%7bfont-family%3a+Arial%3b+font-size%3a9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D8D3BA%3b+text-align%3aright%3bvertical-align%3amiddle%3b%7d%0a.Class1572%7bfont-family%3a+Arial%3b+font-size%3a9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D0CAAC%3b+text-align%3aright%3bvertical-align%3amiddle%3b%7d%0a.Class1573%7bfont-family%3a+Arial%3b+font-size%3a9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D0CAAC%3b+text-align%3aright%3bvertical-align%3amiddle%3b%7d%0a.Class1574%7bfont-family%3a+Calibri%3b+font-size%3a10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23376091+%3bborder-bottom-color%3a+Black+%3bbackground-color%3aWhite%3b+text-align%3aleft%3bvertical-align%3amiddle%3b%7d%0a.Class1575%7bfont-family%3a+Calibri%3b+font-size%3a10pt%3b+color%3aBlack%3btext-decoration%3anone%3bborder-left-style%3a+Solid+%3bborder-bottom-style%3a+Solid+%3bborder-top-width%3a+0.5pt+%3bborder-left-width%3a+1.0pt+%3bborder-right-width%3a+0.5pt+%3bborder-bottom-width%3a+1.0pt+%3bborder-top-color%3a+Black+%3bborder-left-color%3a+%23376091+%3bborder-right-color%3a+Black+%3bborder-bottom-color%3a+%23376091+%3bbackground-color%3a%23FAFBF7%3b+text-align%3aleft%3bvertical-align%3amiddle%3b%7d%0a.Class1576%7bfont-family%3a+Calibri%3b+font-size%3a10pt%3b+color%3aBlack%3btext-decoration%3anone%3bborder-top-style%3a+Solid+%3bborder-bottom-style%3a+Solid+%3bborder-top-width%3a+1.0pt+%3bborder-left-width%3a+0.5pt+%3bborder-right-width%3a+0.5pt+%3bborder-bottom-width%3a+1.0pt+%3bborder-top-color%3a+%23376091+%3bborder-left-color%3a+Black+%3bborder-right-color%3a+Black+%3bborder-bottom-color%3a+%23376091+%3bbackground-color%3a%23FAFBF7%3b+text-align%3aleft%3bvertical-align%3amiddle%3b%7d%0a.Class1577%7bfont-family%3a+Calibri%3b+font-size%3a11pt%3b+color%3aBlack%3btext-decoration%3anone%3bborder%3a+0.5pt++None++Black+%3bbackground-color%3aWhite%3b+text-align%3aleft%3bvertical-align%3amiddle%3b%7d%0a.Class1578%7bfont-family%3a+Calibri%3b+font-size%3a11pt%3b+color%3aBlack%3btext-decoration%3anone%3bborder-top-style%3a+Solid+%3bborder-top-width%3a+1.0pt+%3bborder-left-width%3a+0.5pt+%3bborder-right-width%3a+0.5pt+%3bborder-bottom-width%3a+0.5pt+%3bborder-top-color%3a+%23376091+%3bborder-left-color%3a+Black+%3bborder-right-color%3a+Black+%3bborder-bottom-color%3a+Black+%3bbackground-color%3aWhite%3b+text-align%3aleft%3bvertical-align%3amiddle%3b%7d%0a.Class1579%7bfont-family%3a+Calibri%3b+font-size%3a11pt%3b+color%3aBlack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23376091+%3bbackground-color%3aWhite%3b+text-align%3aleft%3bvertical-align%3abottom%3b%7d%0a.Class1580%7bfont-family%3a+Calibri%3b+font-size%3a11pt%3b+color%3aBlack%3btext-decoration%3anone%3bborder-right-style%3a+Solid+%3bborder-top-width%3a+0.5pt+%3bborder-left-width%3a+0.5pt+%3bborder-right-width%3a+1.5pt+%3bborder-bottom-width%3a+0.5pt+%3bborder-top-color%3a+Black+%3bborder-left-color%3a+Black+%3bborder-right-color%3a+%23376091+%3bborder-bottom-color%3a+Black+%3bbackground-color%3aWhite%3b+text-align%3aleft%3bvertical-align%3abottom%3b%7d%0a.Class1581%7bfont-family%3a+Calibri%3b+font-size%3a11pt%3b+color%3aBlack%3btext-decoration%3anone%3bborder-top-style%3a+Solid+%3bborder-left-style%3a+Solid+%3bborder-top-width%3a+1.5pt+%3bborder-left-width%3a+1.5pt+%3bborder-right-width%3a+0.5pt+%3bborder-bottom-width%3a+0.5pt+%3bborder-top-color%3a+%23376091+%3bborder-left-color%3a+%23376091+%3bborder-right-color%3a+Black+%3bborder-bottom-color%3a+Black+%3bbackground-color%3a%23FAFBF7%3b+text-align%3aleft%3bvertical-align%3abottom%3b%7d%0a.Class1582%7bfont-family%3a+Calibri%3b+font-size%3a11pt%3b+color%3aBlack%3btext-decoration%3anone%3bborder-top-style%3a+Solid+%3bborder-top-width%3a+1.5pt+%3bborder-left-width%3a+0.5pt+%3bborder-right-width%3a+0.5pt+%3bborder-bottom-width%3a+0.5pt+%3bborder-top-color%3a+%23376091+%3bborder-left-color%3a+Black+%3bborder-right-color%3a+Black+%3bborder-bottom-color%3a+Black+%3bbackground-color%3a%23FAFBF7%3b+text-align%3aleft%3bvertical-align%3abottom%3b%7d%0a.Class1583%7bfont-family%3a+Calibri%3b+font-size%3a11pt%3b+color%3aBlack%3btext-decoration%3anone%3bborder-top-style%3a+Solid+%3bborder-right-style%3a+Solid+%3bborder-top-width%3a+1.5pt+%3bborder-left-width%3a+0.5pt+%3bborder-right-width%3a+1.5pt+%3bborder-bottom-width%3a+0.5pt+%3bborder-top-color%3a+%23376091+%3bborder-left-color%3a+Black+%3bborder-right-color%3a+%23376091+%3bborder-bottom-color%3a+Black+%3bbackground-color%3a%23FAFBF7%3b+text-align%3aleft%3bvertical-align%3abottom%3b%7d%0a.Class1584%7bfont-family%3a+Calibri%3b+font-size%3a11pt%3b+color%3aBlack%3btext-decoration%3anone%3bborder-left-style%3a+Solid+%3bborder-top-width%3a+0.5pt+%3bborder-left-width%3a+1.5pt+%3bborder-right-width%3a+0.5pt+%3bborder-bottom-width%3a+0.5pt+%3bborder-top-color%3a+Black+%3bborder-left-color%3a+%23376091+%3bborder-right-color%3a+Black+%3bborder-bottom-color%3a+Black+%3bbackground-color%3aWhite%3b+text-align%3aleft%3bvertical-align%3abottom%3b%7d%0a.Class1585%7bfont-family%3a+Calibri%3b+font-size%3a11pt%3b+color%3aBlack%3btext-decoration%3anone%3bborder-left-style%3a+Solid+%3bborder-top-width%3a+0.5pt+%3bborder-left-width%3a+1.5pt+%3bborder-right-width%3a+0.5pt+%3bborder-bottom-width%3a+0.5pt+%3bborder-top-color%3a+Black+%3bborder-left-color%3a+%23376091+%3bborder-right-color%3a+Black+%3bborder-bottom-color%3a+Black+%3bbackground-color%3a%23FAFBF7%3b+text-align%3aleft%3bvertical-align%3abottom%3b%7d%0a.Class1586%7bfont-family%3a+Calibri%3b+font-size%3a11pt%3b+color%3aBlack%3btext-decoration%3anone%3bborder-right-style%3a+Solid+%3bborder-top-width%3a+0.5pt+%3bborder-left-width%3a+0.5pt+%3bborder-right-width%3a+1.5pt+%3bborder-bottom-width%3a+0.5pt+%3bborder-top-color%3a+Black+%3bborder-left-color%3a+Black+%3bborder-right-color%3a+%23376091+%3bborder-bottom-color%3a+Black+%3bbackground-color%3a%23FAFBF7%3b+text-align%3aleft%3bvertical-align%3abottom%3b%7d%0a.Class1587%7bfont-family%3a+Calibri%3b+font-size%3a11pt%3b+color%3aBlack%3btext-decoration%3anone%3bborder-left-style%3a+Solid+%3bborder-right-style%3a+Solid+%3bborder-top-width%3a+0.5pt+%3bborder-left-width%3a+1.5pt+%3bborder-right-width%3a+1.0pt+%3bborder-bottom-width%3a+0.5pt+%3bborder-top-color%3a+Black+%3bborder-left-color%3a+%23376091+%3bborder-right-color%3a+%23376091+%3bborder-bottom-color%3a+Black+%3bbackground-color%3a%23FAFBF7%3b+text-align%3aleft%3bvertical-align%3abottom%3b%7d%0a.Class1588%7bfont-family%3a+Calibri%3b+font-size%3a11pt%3b+color%3aWhite%3bfont-weight%3a+bold%3btext-decoration%3anone%3bborder-top-style%3a+Solid+%3bborder-left-style%3a+Solid+%3bborder-bottom-style%3a+Solid+%3bborder-top-width%3a+1.0pt+%3bborder-left-width%3a+1.0pt+%3bborder-right-width%3a+0.5pt+%3bborder-bottom-width%3a+0.5pt+%3bborder-top-color%3a+%23376091+%3bborder-left-color%3a+%23376091+%3bborder-right-color%3a+Black+%3bborder-bottom-color%3a+%23376091+%3bbackground-color%3a%23215867%3b+text-align%3aleft%3bvertical-align%3amiddle%3b%7d%0a.Class1589%7bfont-family%3a+Calibri%3b+font-size%3a11pt%3b+color%3aWhite%3bfont-weight%3a+bold%3btext-decoration%3anone%3bborder-top-style%3a+Solid+%3bborder-bottom-style%3a+Solid+%3bborder-top-width%3a+1.0pt+%3bborder-left-width%3a+0.5pt+%3bborder-right-width%3a+0.5pt+%3bborder-bottom-width%3a+0.5pt+%3bborder-top-color%3a+%23376091+%3bborder-left-color%3a+Black+%3bborder-right-color%3a+Black+%3bborder-bottom-color%3a+%23376091+%3bbackground-color%3a%23215867%3b+text-align%3acenter%3bvertical-align%3amiddle%3b%7d%0a.Class1590%7bfont-family%3a+Calibri%3b+font-size%3a11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EEECE1%3b+text-align%3aleft%3bvertical-align%3amiddle%3b%7d%0a.Class1591%7bfont-family%3a+Calibri%3b+font-size%3a11pt%3b+color%3aBlack%3btext-decoration%3anone%3bborder-top-style%3a+Solid+%3bborder-bottom-style%3a+Solid+%3bborder-width%3a+0.5pt+%3bborder-top-color%3a+%23376091+%3bborder-left-color%3a+Black+%3bborder-right-color%3a+Black+%3bborder-bottom-color%3a+%23376091+%3bbackground-color%3a%23EEECE1%3b+text-align%3acenter%3bvertical-align%3amiddle%3b%7d%0a.Class1592%7bfont-family%3a+Calibri%3b+font-size%3a11pt%3b+color%3aBlack%3btext-decoration%3anone%3bborder-top-style%3a+Solid+%3bborder-left-style%3a+Solid+%3bborder-bottom-style%3a+Solid+%3bborder-top-width%3a+0.5pt+%3bborder-left-width%3a+1.0pt+%3bborder-right-width%3a+0.5pt+%3bborder-bottom-width%3a+1.0pt+%3bborder-top-color%3a+%23376091+%3bborder-left-color%3a+%23376091+%3bborder-right-color%3a+Black+%3bborder-bottom-color%3a+%23376091+%3bbackground-color%3a%23EEECE1%3b+text-align%3acenter%3bvertical-align%3amiddle%3b%7d%0a.Class1593%7bfont-family%3a+Calibri%3b+font-size%3a11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EEECE1%3b+text-align%3aleft%3bvertical-align%3amiddle%3b%7d%0a.Class1594%7bfont-family%3a+Calibri%3b+font-size%3a11pt%3b+color%3aBlack%3btext-decoration%3anone%3bborder-top-style%3a+Solid+%3bborder-bottom-style%3a+Solid+%3bborder-top-width%3a+0.5pt+%3bborder-left-width%3a+0.5pt+%3bborder-right-width%3a+0.5pt+%3bborder-bottom-width%3a+1.0pt+%3bborder-top-color%3a+%23376091+%3bborder-left-color%3a+Black+%3bborder-right-color%3a+Black+%3bborder-bottom-color%3a+%23376091+%3bbackground-color%3a%23EEECE1%3b+text-align%3acenter%3bvertical-align%3amiddle%3b%7d%0a.Class1595%7bfont-family%3a+Calibri%3b+font-size%3a11pt%3b+color%3a%23376091%3bfont-weight%3a+bold%3btext-decoration%3anone%3bborder%3a+0.5pt++None++Black+%3bbackground-color%3a%23FAFBF7%3b+text-align%3acenter%3bvertical-align%3amiddle%3b%7d%0a.Class1596%7bfont-family%3a+Calibri%3b+font-size%3a11pt%3b+color%3aWhite%3bfont-weight%3a+bold%3btext-decoration%3anone%3bborder-style%3a+Solid+%3bborder-top-width%3a+1.0pt+%3bborder-left-width%3a+1.0pt+%3bborder-right-width%3a+0.5pt+%3bborder-bottom-width%3a+1.0pt+%3bborder-color%3a+%23376091+%3bbackground-color%3a%23215867%3b+text-align%3acenter%3bvertical-align%3amiddle%3b%7d%0a.Class1597%7bfont-family%3a+Calibri%3b+font-size%3a11pt%3b+color%3aWhite%3bfont-weight%3a+bold%3btext-decoration%3anone%3bborder-style%3a+Solid+%3bborder-top-width%3a+1.0pt+%3bborder-left-width%3a+0.5pt+%3bborder-right-width%3a+0.5pt+%3bborder-bottom-width%3a+1.0pt+%3bborder-color%3a+%23376091+%3bbackground-color%3a%23215867%3b+text-align%3acenter%3bvertical-align%3amiddle%3b%7d%0a.Class1598%7bfont-family%3a+Calibri%3b+font-size%3a11pt%3b+color%3aBlack%3btext-decoration%3anone%3bborder-style%3a+Solid+%3bborder-top-width%3a+1.0pt+%3bborder-left-width%3a+1.0pt+%3bborder-right-width%3a+0.5pt+%3bborder-bottom-width%3a+0.5pt+%3bborder-color%3a+%23376091+%3bbackground-color%3a%23EEECE1%3b+text-align%3acenter%3bvertical-align%3amiddle%3b%7d%0a.Class1599%7bfont-family%3a+Calibri%3b+font-size%3a11pt%3b+color%3aBlack%3btext-decoration%3anone%3bborder-style%3a+Solid+%3bborder-top-width%3a+1.0pt+%3bborder-left-width%3a+0.5pt+%3bborder-right-width%3a+0.5pt+%3bborder-bottom-width%3a+0.5pt+%3bborder-color%3a+%23376091+%3bbackground-color%3a%23EEECE1%3b+text-align%3acenter%3bvertical-align%3amiddle%3b%7d%0a.Class1600%7bfont-family%3a+Calibri%3b+font-size%3a11pt%3b+color%3aBlack%3btext-decoration%3anone%3bborder-style%3a+Solid+%3bborder-top-width%3a+0.5pt+%3bborder-left-width%3a+1.0pt+%3bborder-right-width%3a+0.5pt+%3bborder-bottom-width%3a+1.0pt+%3bborder-color%3a+%23376091+%3bbackground-color%3a%23EEECE1%3b+text-align%3acenter%3bvertical-align%3amiddle%3b%7d%0a.Class1601%7bfont-family%3a+Calibri%3b+font-size%3a11pt%3b+color%3aBlack%3btext-decoration%3anone%3bborder-style%3a</t>
  </si>
  <si>
    <t xml:space="preserve"> +Solid+%3bborder-top-width%3a+0.5pt+%3bborder-left-width%3a+0.5pt+%3bborder-right-width%3a+0.5pt+%3bborder-bottom-width%3a+1.0pt+%3bborder-color%3a+%23376091+%3bbackground-color%3a%23EEECE1%3b+text-align%3acenter%3bvertical-align%3amiddle%3b%7d%0a.Class1602%7bfont-family%3a+Calibri%3b+font-size%3a12pt%3b+color%3a%23376091%3bfont-weight%3a+bold%3btext-decoration%3anone%3bborder%3a+0.5pt++None++Black+%3bbackground-color%3a%23FAFBF7%3b+text-align%3aleft%3bvertical-align%3amiddle%3b%7d%0a.Class1603%7bfont-family%3a+Calibri%3b+font-size%3a12pt%3b+color%3a%23376091%3bfont-weight%3a+bold%3btext-decoration%3anone%3bborder%3a+0.5pt++None++Black+%3bbackground-color%3a%23FAFBF7%3b+text-align%3acenter%3bvertical-align%3amiddle%3b%7d%0a.Class1604%7bfont-family%3a+Calibri%3b+font-size%3a11pt%3b+color%3aBlack%3btext-decoration%3anone%3bborder-left-style%3a+Solid+%3bborder-bottom-style%3a+Solid+%3bborder-top-width%3a+0.5pt+%3bborder-left-width%3a+1.5pt+%3bborder-right-width%3a+0.5pt+%3bborder-bottom-width%3a+1.5pt+%3bborder-top-color%3a+Black+%3bborder-left-color%3a+%23376091+%3bborder-right-color%3a+Black+%3bborder-bottom-color%3a+%23376091+%3bbackground-color%3a%23FAFBF7%3b+text-align%3aleft%3bvertical-align%3abottom%3b%7d%0a.Class1605%7bfont-family%3a+Calibri%3b+font-size%3a11pt%3b+color%3aBlack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23376091+%3bbackground-color%3a%23FAFBF7%3b+text-align%3aleft%3bvertical-align%3amiddle%3b%7d%0a.Class1606%7bfont-family%3a+Calibri%3b+font-size%3a11pt%3b+color%3aBlack%3btext-decoration%3anone%3bborder-right-style%3a+Solid+%3bborder-bottom-style%3a+Solid+%3bborder-top-width%3a+0.5pt+%3bborder-left-width%3a+0.5pt+%3bborder-right-width%3a+1.5pt+%3bborder-bottom-width%3a+1.5pt+%3bborder-top-color%3a+Black+%3bborder-left-color%3a+Black+%3bborder-right-color%3a+%23376091+%3bborder-bottom-color%3a+%23376091+%3bbackground-color%3a%23FAFBF7%3b+text-align%3aleft%3bvertical-align%3abottom%3b%7d%0a.Class1607%7bfont-family%3a+Calibri%3b+font-size%3a11pt%3b+color%3aBlack%3btext-decoration%3anone%3bborder-top-style%3a+Solid+%3bborder-top-width%3a+1.5pt+%3bborder-left-width%3a+0.5pt+%3bborder-right-width%3a+0.5pt+%3bborder-bottom-width%3a+0.5pt+%3bborder-top-color%3a+%23376091+%3bborder-left-color%3a+Black+%3bborder-right-color%3a+Black+%3bborder-bottom-color%3a+Black+%3bbackground-color%3aWhite%3b+text-align%3aleft%3bvertical-align%3abottom%3b%7d%0a.Class1608%7bfont-family%3a+Calibri%3b+font-size%3a11pt%3b+color%3aBlack%3btext-decoration%3anone%3bborder-top-style%3a+Solid+%3bborder-top-width%3a+1.5pt+%3bborder-left-width%3a+0.5pt+%3bborder-right-width%3a+0.5pt+%3bborder-bottom-width%3a+0.5pt+%3bborder-top-color%3a+%23376091+%3bborder-left-color%3a+Black+%3bborder-right-color%3a+Black+%3bborder-bottom-color%3a+Black+%3bbackground-color%3aWhite%3b+text-align%3aleft%3bvertical-align%3amiddle%3b%7d%3c%2fCss%3e%0d%0a++%3cCulture%3etr-TR%3c%2fCulture%3e%0d%0a++%3cMergedSavingCells+%2f%3e%0d%0a++%3cPageInputCells%3e%0d%0a++++%3cInputCellsCollection%3e%0d%0a++++++%3cInputCells%3e%0d%0a++++++++%3cCellCount%3e33%3c%2fCellCount%3e%0d%0a++++++++%3cCells%3e%0d%0a++++++++++%3cInputCell%3e%0d%0a++++++++++++%3cAddress%3e%3d'NPV'!%24L%246%3c%2fAddress%3e%0d%0a++++++++++++%3cListItemsAddress+%2f%3e%0d%0a++++++++++++%3cType%3e0%3c%2fType%3e%0d%0a++++++++++++%3cNameIndex%3e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8%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L%249%3c%2fAddress%3e%0d%0a++++++++++++%3cListItemsAddress+%2f%3e%0d%0a++++++++++++%3cType%3e0%3c%2fType%3e%0d%0a++++++++++++%3cNameIndex%3e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L%2411%3c%2fAddress%3e%0d%0a++++++++++++%3cListItemsAddress+%2f%3e%0d%0a++++++++++++%3cType%3e0%3c%2fType%3e%0d%0a++++++++++++%3cNameIndex%3e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E%2419%3c%2fAddress%3e%0d%0a++++++++++++%3cListItemsAddress+%2f%3e%0d%0a++++++++++++%3cType%3e0%3c%2fType%3e%0d%0a++++++++++++%3cNameIndex%3e3%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Do+Nothing%3c%2fDefaultValue%3e%0d%0a++++++++++++%3cValueType%3eSystem.String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K%2419%3c%2fAddress%3e%0d%0a++++++++++++%3cListItemsAddress+%2f%3e%0d%0a++++++++++++%3cType%3e0%3c%2fType%3e%0d%0a++++++++++++%3cNameIndex%3e4%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N%2419%3c%2fAddress%3e%0d%0a++++++++++++%3cListItemsAddress+%2f%3e%0d%0a++++++++++++%3cType%3e0%3c%2fType%3e%0d%0a++++++++++++%3cNameIndex%3e5%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Q%2419%3c%2fAddress%3e%0d%0a++++++++++++%3cListItemsAddress+%2f%3e%0d%0a++++++++++++%3cType%3e0%3c%2fType%3e%0d%0a++++++++++++%3cNameIndex%3e6%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E%2420%3c%2fAddress%3e%0d%0a++++++++++++%3cListItemsAddress+%2f%3e%0d%0a++++++++++++%3cType%3e0%3c%2fType%3e%0d%0a++++++++++++%3cNameIndex%3e7%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Purchase+Machine+A%3c%2fDefaultValue%3e%0d%0a++++++++++++%3cValueType%3eSystem.String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K%2420%3c%2fAddress%3e%0d%0a++++++++++++%3cListItemsAddress+%2f%3e%0d%0a++++++++++++%3cType%3e0%3c%2fType%3e%0d%0a++++++++++++%3cNameIndex%3e8%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1000%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N%2420%3c%2fAddress%3e%0d%0a++++++++++++%3cListItemsAddress+%2f%3e%0d%0a++++++++++++%3cType%3e0%3c%2fType%3e%0d%0a++++++++++++%3cNameIndex%3e9%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250%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Q%2420%3c%2fAddress%3e%0d%0a++++++++++++%3cListItemsAddress+%2f%3e%0d%0a++++++++++++%3cType%3e0%3c%2fType%3e%0d%0a++++++++++++%3cNameIndex%3e10%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50%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E%2421%3c%2fAddress%3e%0d%0a++++++++++++%3cListItemsAddress+%2f%3e%0d%0a++++++++++++%3cType%3e0%3c%2fType%3e%0d%0a++++++++++++%3cNameIndex%3e11%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Purchase+Machine+B%3c%2fDefaultValue%3e%0d%0a++++++++++++%3cValueType%3eSystem.String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K%2421%3c%2fAddress%3e%0d%0a++++++++++++%3cListItemsAddress+%2f%3e%0d%0a++++++++++++%3cType%3e0%3c%2fType%3e%0d%0a++++++++++++%3cNameIndex%3e12%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1200%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N%2421%3c%2fAddress%3e%0d%0a++++++++++++%3cListItemsAddress+%2f%3e%0d%0a++++++++++++%3cType%3e0%3c%2fType%3e%0d%0a++++++++++++%3cNameIndex%3e13%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330%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Q%2421%3c%2fAddress%3e%0d%0a++++++++++++%3cListItemsAddress+%2f%3e%0d%0a++++++++++++%3cType%3e0%3c%2fType%3e%0d%0a++++++++++++%3cNameIndex%3e14%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60%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E%2422%3c%2fAddress%3e%0d%0a++++++++++++%3cListItemsAddress+%2f%3e%0d%0a++++++++++++%3cType%3e0%3c%2fType%3e%0d%0a++++++++++++%3cNameIndex%3e15%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Purchase+Machine+A%26amp%3bB%3c%2fDefaultValue%3e%0d%0a++++++++++++%3cValueType%3eSystem.String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K%2422%3c%2fAddress%3e%0d%0a++++++++++++%3cListItemsAddress+%2f%3e%0d%0a++++++++++++%3cType%3e0%3c%2fType%3e%0d%0a++++++++++++%3cNameIndex%3e16%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2000%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N%2422%3c%2fAddress%3e%0d%0a++++++++++++%3cListItemsAddress+%2f%3e%0d%0a++++++++++++%3cType%3e0%3c%2fType%3e%0d%0a++++++++++++%3cNameIndex%3e17%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500%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Q%2422%3c%2fAddress%3e%0d%0a++++++++++++%3cListItemsAddress+%2f%3e%0d%0a++++++++++++%3cType%3e0%3c%2fType%3e%0d%0a++++++++++++%3cNameIndex%3e18%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110%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E%2423%3c%2fAddress%3e%0d%0a++++++++++++%3cListItemsAddress+%2f%3e%0d%0a++++++++++++%3cType%3e0%3c%2fType%3e%0d%0a++++++++++++%3cNameIndex%3e19%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Purchase+Machine+C%3c%2fDefaultValue%3e%0d%0a++++++++++++%3cValueType%3eSystem.String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K%2423%3c%2fAddress%3e%0d%0a++++++++++++%3cListItemsAddress+%2f%3e%0d%0a++++++++++++%3cType%3e0%3c%2fType%3e%0d%0a++++++++++++%3cNameIndex%3e20%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2500%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N%2423%3c%2fAddress%3e%0d%0a++++++++++++%3cListItemsAddress+%2f%3e%0d%0a++++++++++++%3cType%3e0%3c%2fType%3e%0d%0a++++++++++++%3cNameIndex%3e21%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600%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Q%2423%3c%2fAddress%3e%0d%0a++++++++++++%3cListItemsAddress+%2f%3e%0d%0a++++++++++++%3cType%3e0%3c%2fType%3e%0d%0a++++++++++++%3cNameIndex%3e22%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</t>
  </si>
  <si>
    <t xml:space="preserve"> uired%3e%0d%0a++++++++++++%3cTypeName%3eText+Box%3c%2fTypeName%3e%0d%0a++++++++++++%3cDefaultValue%3e150%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E%2424%3c%2fAddress%3e%0d%0a++++++++++++%3cListItemsAddress+%2f%3e%0d%0a++++++++++++%3cType%3e0%3c%2fType%3e%0d%0a++++++++++++%3cNameIndex%3e23%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Purchase+Machine+A%26amp%3bC%3c%2fDefaultValue%3e%0d%0a++++++++++++%3cValueType%3eSystem.String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K%2424%3c%2fAddress%3e%0d%0a++++++++++++%3cListItemsAddress+%2f%3e%0d%0a++++++++++++%3cType%3e0%3c%2fType%3e%0d%0a++++++++++++%3cNameIndex%3e24%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3300%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N%2424%3c%2fAddress%3e%0d%0a++++++++++++%3cListItemsAddress+%2f%3e%0d%0a++++++++++++%3cType%3e0%3c%2fType%3e%0d%0a++++++++++++%3cNameIndex%3e25%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900%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Q%2424%3c%2fAddress%3e%0d%0a++++++++++++%3cListItemsAddress+%2f%3e%0d%0a++++++++++++%3cType%3e0%3c%2fType%3e%0d%0a++++++++++++%3cNameIndex%3e26%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W%2419%3c%2fAddress%3e%0d%0a++++++++++++%3cListItemsAddress+%2f%3e%0d%0a++++++++++++%3cType%3e0%3c%2fType%3e%0d%0a++++++++++++%3cNameIndex%3e27%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W%2420%3c%2fAddress%3e%0d%0a++++++++++++%3cListItemsAddress+%2f%3e%0d%0a++++++++++++%3cType%3e0%3c%2fType%3e%0d%0a++++++++++++%3cNameIndex%3e28%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W%2421%3c%2fAddress%3e%0d%0a++++++++++++%3cListItemsAddress+%2f%3e%0d%0a++++++++++++%3cType%3e0%3c%2fType%3e%0d%0a++++++++++++%3cNameIndex%3e29%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220%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W%2422%3c%2fAddress%3e%0d%0a++++++++++++%3cListItemsAddress+%2f%3e%0d%0a++++++++++++%3cType%3e0%3c%2fType%3e%0d%0a++++++++++++%3cNameIndex%3e30%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420%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W%2423%3c%2fAddress%3e%0d%0a++++++++++++%3cListItemsAddress+%2f%3e%0d%0a++++++++++++%3cType%3e0%3c%2fType%3e%0d%0a++++++++++++%3cNameIndex%3e31%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NPV'!%24W%2424%3c%2fAddress%3e%0d%0a++++++++++++%3cListItemsAddress+%2f%3e%0d%0a++++++++++++%3cType%3e0%3c%2fType%3e%0d%0a++++++++++++%3cNameIndex%3e32%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%3c%2fCells%3e%0d%0a++++++%3c%2fInputCells%3e%0d%0a++++++%3cInputCells%3e%0d%0a++++++++%3cCellCount%3e0%3c%2fCellCount%3e%0d%0a++++++%3c%2fInputCells%3e%0d%0a++++%3c%2fInputCellsCollection%3e%0d%0a++%3c%2fPageInputCells%3e%0d%0a++%3cPageLayouts%3e%0d%0a++++%3cIsTabsVisible%3etrue%3c%2fIsTabsVisible%3e%0d%0a++++%3cPageLayoutCollection%3e%0d%0a++++++%3cPageLayout%3e%0d%0a++++++++%3c_transferRecordOwnerShipValue+%2f%3e%0d%0a++++++++%3cIndex%3e0%3c%2fIndex%3e%0d%0a++++++++%3cIsPageHidingEnabled%3efalse%3c%2fIsPageHidingEnabled%3e%0d%0a++++++++%3cIsPageVisible%3etrue%3c%2fIsPageVisible%3e%0d%0a++++++++%3cOrder%3e0%3c%2fOrder%3e%0d%0a++++++++%3cFileName%3e1.+NPV%3c%2fFileName%3e%0d%0a++++++++%3cIsAjaxEnabled%3efalse%3c%2fIsAjaxEnabled%3e%0d%0a++++++++%3cRecipient%3eEnter+e-mail+address+here.%3c%2fRecipient%3e%0d%0a++++++++%3cLocation%3eBottom%3c%2fLocation%3e%0d%0a++++++++%3cAlignment%3eCenter%3c%2fAlignment%3e%0d%0a++++++++%3cAutoResponseEmail%3eFalse%3c%2fAutoResponseEmail%3e%0d%0a++++++++%3cNotificationEmail%3eFalse%3c%2fNotificationEmail%3e%0d%0a++++++++%3cPageForwarding%3eFalse%3c%2fPageForwarding%3e%0d%0a++++++++%3cPageForwardingCustomPage%3eFalse%3c%2fPageForwardingCustomPage%3e%0d%0a++++++++%3cPageForwardingIsExternalURL%3eFalse%3c%2fPageForwardingIsExternalURL%3e%0d%0a++++++++%3cIsSaveButtonEnabledByCellValue%3efalse%3c%2fIsSaveButtonEnabledByCellValue%3e%0d%0a++++++++%3cIsSaveButtonEnabled%3efalse%3c%2fIsSaveButtonEnabled%3e%0d%0a++++++++%3cPageForwardingExternalURL%3eNone%3c%2fPageForwardingExternalURL%3e%0d%0a++++++++%3cControls%3e%0d%0a++++++++++%3cPageControl%3e%0d%0a++++++++++++%3cEnabled%3etrue%3c%2fEnabled%3e%0d%0a++++++++++++%3cType%3eCalculate%3c%2fType%3e%0d%0a++++++++++++%3cOrder%3e0%3c%2fOrder%3e%0d%0a++++++++++++%3cCellLink%3e%3d'NPV'!%24C%2426%3c%2fCellLink%3e%0d%0a++++++++++++%3cName%3eCalculate%3c%2fName%3e%0d%0a++++++++++%3c%2fPageControl%3e%0d%0a++++++++++%3cPageControl%3e%0d%0a++++++++++++%3cEnabled%3efalse%3c%2fEnabled%3e%0d%0a++++++++++++%3cType%3eReset%3c%2fType%3e%0d%0a++++++++++++%3cOrder%3e1%3c%2fOrder%3e%0d%0a++++++++++++%3cCellLink%3eDEFAULT%3c%2fCellLink%3e%0d%0a++++++++++++%3cName%3eReset%3c%2fName%3e%0d%0a++++++++++%3c%2fPageControl%3e%0d%0a++++++++++%3cPageControl%3e%0d%0a++++++++++++%3cEnabled%3efalse%3c%2fEnabled%3e%0d%0a++++++++++++%3cType%3eSend+Results%3c%2fType%3e%0d%0a++++++++++++%3cOrder%3e2%3c%2fOrder%3e%0d%0a++++++++++++%3cCellLink%3eDEFAULT%3c%2fCellLink%3e%0d%0a++++++++++++%3cName%3eSubmit%3c%2fName%3e%0d%0a++++++++++%3c%2fPageControl%3e%0d%0a++++++++++%3cPageControl%3e%0d%0a++++++++++++%3cEnabled%3efalse%3c%2fEnabled%3e%0d%0a++++++++++++%3cType%3eSave%3c%2fType%3e%0d%0a++++++++++++%3cOrder%3e3%3c%2fOrder%3e%0d%0a++++++++++++%3cCellLink%3eDEFAULT%3c%2fCellLink%3e%0d%0a++++++++++++%3cName%3eSave%3c%2fName%3e%0d%0a++++++++++%3c%2fPageControl%3e%0d%0a++++++++++%3cPageControl%3e%0d%0a++++++++++++%3cEnabled%3efalse%3c%2fEnabled%3e%0d%0a++++++++++++%3cType%3eBack%3c%2fType%3e%0d%0a++++++++++++%3cOrder%3e5%3c%2fOrder%3e%0d%0a++++++++++++%3cCellLink%3eDEFAULT%3c%2fCellLink%3e%0d%0a++++++++++++%3cName%3eBack%3c%2fName%3e%0d%0a++++++++++%3c%2fPageControl%3e%0d%0a++++++++++%3cPageControl%3e%0d%0a++++++++++++%3cEnabled%3efalse%3c%2fEnabled%3e%0d%0a++++++++++++%3cType%3eNext%3c%2fType%3e%0d%0a++++++++++++%3cOrder%3e4%3c%2fOrder%3e%0d%0a++++++++++++%3cCellLink%3e%3d'NPV'!%24F%2426%3c%2fCellLink%3e%0d%0a++++++++++++%3cName%3eIRR+Analysis%3c%2fName%3e%0d%0a++++++++++%3c%2fPageControl%3e%0d%0a++++++++%3c%2fControls%3e%0d%0a++++++++%3cCellAlignment%3etrue%3c%2fCellAlignment%3e%0d%0a++++++++%3cFont%3etrue%3c%2fFont%3e%0d%0a++++++++%3cBorder%3etrue%3c%2fBorder%3e%0d%0a++++++++%3cColor%3etrue%3c%2fColor%3e%0d%0a++++++++%3cImages%3etrue%3c%2fImages%3e%0d%0a++++++++%3cCharts%3etrue%3c%2fCharts%3e%0d%0a++++++++%3cPivots%3etrue%3c%2fPivots%3e%0d%0a++++++++%3cFormControls%3etrue%3c%2fFormControls%3e%0d%0a++++++++%3cChangeRecordStatus%3efalse%3c%2fChangeRecordStatus%3e%0d%0a++++++++%3cRecordStatusValue+%2f%3e%0d%0a++++++++%3cTransferRecordOwnership%3efalse%3c%2fTransferRecordOwnership%3e%0d%0a++++++++%3cTransferRecordOwnershipValue+%2f%3e%0d%0a++++++%3c%2fPageLayout%3e%0d%0a++++++%3cPageLayout%3e%0d%0a++++++++%3c_transferRecordOwnerShipValue+%2f%3e%0d%0a++++++++%3cIndex%3e1%3c%2fIndex%3e%0d%0a++++++++%3cIsPageHidingEnabled%3efalse%3c%2fIsPageHidingEnabled%3e%0d%0a++++++++%3cIsPageVisible%3etrue%3c%2fIsPageVisible%3e%0d%0a++++++++%3cOrder%3e1%3c%2fOrder%3e%0d%0a++++++++%3cFileName%3e2.+IRR%3c%2fFileName%3e%0d%0a++++++++%3cIsAjaxEnabled%3efalse%3c%2fIsAjaxEnabled%3e%0d%0a++++++++%3cRecipient%3eEnter+e-mail+address+here.%3c%2fRecipient%3e%0d%0a++++++++%3cLocation%3eBottom%3c%2fLocation%3e%0d%0a++++++++%3cAlignment%3eCenter%3c%2fAlignment%3e%0d%0a++++++++%3cAutoResponseEmail%3eFalse%3c%2fAutoResponseEmail%3e%0d%0a++++++++%3cNotificationEmail%3eFalse%3c%2fNotificationEmail%3e%0d%0a++++++++%3cPageForwarding%3eFalse%3c%2fPageForwarding%3e%0d%0a++++++++%3cPageForwardingCustomPage%3eFalse%3c%2fPageForwardingCustomPage%3e%0d%0a++++++++%3cPageForwardingIsExternalURL%3eFalse%3c%2fPageForwardingIsExternalURL%3e%0d%0a++++++++%3cIsSaveButtonEnabledByCellValue%3efalse%3c%2fIsSaveButtonEnabledByCellValue%3e%0d%0a++++++++%3cIsSaveButtonEnabled%3efalse%3c%2fIsSaveButtonEnabled%3e%0d%0a++++++++%3cPageForwardingExternalURL%3eNone%3c%2fPageForwardingExternalURL%3e%0d%0a++++++++%3cControls%3e%0d%0a++++++++++%3cPageControl%3e%0d%0a++++++++++++%3cEnabled%3efalse%3c%2fEnabled%3e%0d%0a++++++++++++%3cType%3eCalculate%3c%2fType%3e%0d%0a++++++++++++%3cOrder%3e0%3c%2fOrder%3e%0d%0a++++++++++++%3cCellLink%3eDEFAULT%3c%2fCellLink%3e%0d%0a++++++++++++%3cName%3eCalculate%3c%2fName%3e%0d%0a++++++++++%3c%2fPageControl%3e%0d%0a++++++++++%3cPageControl%3e%0d%0a++++++++++++%3cEnabled%3efalse%3c%2fEnabled%3e%0d%0a++++++++++++%3cType%3eReset%3c%2fType%3e%0d%0a++++++++++++%3cOrder%3e1%3c%2fOrder%3e%0d%0a++++++++++++%3cCellLink%3eDEFAULT%3c%2fCellLink%3e%0d%0a++++++++++++%3cName%3eReset%3c%2fName%3e%0d%0a++++++++++%3c%2fPageControl%3e%0d%0a++++++++++%3cPageControl%3e%0d%0a++++++++++++%3cEnabled%3efalse%3c%2fEnabled%3e%0d%0a++++++++++++%3cType%3eSend+Results%3c%2fType%3e%0d%0a++++++++++++%3cOrder%3e2%3c%2fOrder%3e%0d%0a++++++++++++%3cCellLink%3eDEFAULT%3c%2fCellLink%3e%0d%0a++++++++++++%3cName%3eSubmit%3c%2fName%3e%0d%0a++++++++++%3c%2fPageControl%3e%0d%0a++++++++++%3cPageControl%3e%0d%0a++++++++++++%3cEnabled%3efalse%3c%2fEnabled%3e%0d%0a++++++++++++%3cType%3eSave%3c%2fType%3e%0d%0a++++++++++++%3cOrder%3e3%3c%2fOrder%3e%0d%0a++++++++++++%3cCellLink%3eDEFAULT%3c%2fCellLink%3e%0d%0a++++++++++++%3cName%3eSave%3c%2fName%3e%0d%0a++++++++++%3c%2fPageControl%3e%0d%0a++++++++++%3cPageControl%3e%0d%0a++++++++++++%3cEnabled%3efalse%3c%2fEnabled%3e%0d%0a++++++++++++%3cType%3eBack%3c%2fType%3e%0d%0a++++++++++++%3cOrder%3e5%3c%2fOrder%3e%0d%0a++++++++++++%3cCellLink%3e%3d'IRR'!%24T%2428%3c%2fCellLink%3e%0d%0a++++++++++++%3cName%3eNPV+Analysis%3c%2fName%3e%0d%0a++++++++++%3c%2fPageControl%3e%0d%0a++++++++++%3cPageControl%3e%0d%0a++++++++++++%3cEnabled%3efalse%3c%2fEnabled%3e%0d%0a++++++++++++%3cType%3eNext%3c%2fType%3e%0d%0a++++++++++++%3cOrder%3e4%3c%2fOrder%3e%0d%0a++++++++++++%3cCellLink%3eDEFAULT%3c%2fCellLink%3e%0d%0a++++++++++++%3cName%3eNext%3c%2fName%3e%0d%0a++++++++++%3c%2fPageControl%3e%0d%0a++++++++%3c%2fControls%3e%0d%0a++++++++%3cCellAlignment%3etrue%3c%2fCellAlignment%3e%0d%0a++++++++%3cFont%3etrue%3c%2fFont%3e%0d%0a++++++++%3cBorder%3etrue%3c%2fBorder%3e%0d%0a++++++++%3cColor%3etrue%3c%2fColor%3e%0d%0a++++++++%3cImages%3etrue%3c%2fImages%3e%0d%0a++++++++%3cCharts%3etrue%3c%2fCharts%3e%0d%0a++++++++%3cPivots%3etrue%3c%2fPivots%3e%0d%0a++++++++%3cFormControls%3etrue%3c%2fFormControls%3e%0d%0a++++++++%3cChangeRecordStatus%3efalse%3c%2fChangeRecordStatus%3e%0d%0a++++++++%3cRecordStatusValue+%2f%3e%0d%0a++++++++%3cTransferRecordOwnership%3efalse%3c%2fTransferRecordOwnership%3e%0d%0a++++++++%3cTransferRecordOwnershipValue+%2f%3e%0d%0a++++++%3c%2fPageLayout%3e%0d%0a++++%3c%2fPageLayoutCollection%3e%0d%0a++++%3cInitialPageIndex%3e0%3c%2fInitialPageIndex%3e%0d%0a++++%3cApplicationName%3ea4%3c%2fApplicationName%3e%0d%0a++%3c%2fPageLayouts%3e%0d%0a++%3cSavingCells%3e%0d%0a++++%3cCellCount%3e0%3c%2fCellCount%3e%0d%0a++%3c%2fSavingCells%3e%0d%0a++%3cTables%3e%0d%0a++++%3cTableCollection%3e%0d%0a++++++%3cTable%3e%0d%0a++++++++%3cAddress%3e%3d'NPV'!%24A%241%3a%24AL%2456%3c%2fAddress%3e%0d%0a++++++++%3cName%3ePSWOutput_0%3c%2fName%3e%0d%0a++++++++%3cColumnWidths%3e24.75-24.75-24.75-24.75-24.75-24.75-24.75-24.75-24.75-24.75-24.75-24.75-24.75-24.75-24.75-24.75-24.75-24.75-24.75-24.75-24.75-24.75-24.75-24.75-24.75-24.75-24.75-24.75-24.75-24.75-24.75-24.75-24.75-24.75-24.75-24.75-24.75-24.75%3c%2fColumnWidths%3e%0d%0a++++++++%3cRowCount%3e56%3c%2fRowCount%3e%0d%0a++++++++%3cWidth%3e940.5%3c%2fWidth%3e%0d%0a++++++++%3cInputItemCount%3e33%3c%2fInputItemCount%3e%0d%0a++++++++%3cTRs%3e%0d%0a++++++++++%3cTR%3e%0d%0a++++++++++++%3cTDs%3e%0d%0a++++++++++++++%3cTD%3e%0d%0a++++++++++++++++%3cPSCFormated%3efalse%3c%2fPSCFormated%3e%0d%0a++++++++++++++++%3cStyle%3eClass1457%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</t>
  </si>
  <si>
    <t xml:space="preserve"> 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</t>
  </si>
  <si>
    <t xml:space="preserve"> 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</t>
  </si>
  <si>
    <t xml:space="preserve"> 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1465%3c%2fStyle%3e%0d%0a++++++++++++++++%3cMerge%3eTrue%3c%2fMerge%3e%0d%0a++++++++++++++++%3cRowSpan+%2f%3e%0d%0a++++++++++++++++%3cColSpan%3e34%3c%2fColSpan%3e%0d%0a++++++++++++++++%3cFormat%3eGeneral%3c%2fFormat%3e%0d%0a++++++++++++++++%3cWidth%3e841.5%3c%2fWidth%3e%0d%0a++++++++++++++++%3cText%3eNPV+Analysis+of+Mutually+Independent+Projects%3c%2fText%3e%0d%0a++++++++++++++++%3cHeight%3e18.75%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14%3c%2fFontSize%3e%0d%0a++++++++++++++++%3cX%3e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</t>
  </si>
  <si>
    <t xml:space="preserve"> rmula%3eFalse%3c%2fCellHasFormula%3e%0d%0a++++++++++++++++%3cFontName%3eCalibri%3c%2fFontName%3e%0d%0a++++++++++++++++%3cWrapText%3eFalse%3c%2fWrapText%3e%0d%0a++++++++++++++++%3cFontSize%3e11%3c%2fFontSize%3e%0d%0a++++++++++++++++%3cX%3e21%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</t>
  </si>
  <si>
    <t xml:space="preserve"> 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5%3c%2fY%3e%0d%0a++++++++++++++++%3cImages+%2f%3e%0d%0a++++++++++++++++%3cFormControls+%2f%3e%0d%0a++++++++++++++++%3cGrid+%2f%3e%0d%0a++++++++++++++++%3cChart%3e%0d%0a++++++++++++++++++%3cNameIndex%3e0%3c%2fNameIndex%3e%0d%0a++++++++++++++++++%3cZOrder%3e1%3c%2fZOrder%3e%0d%0a++++++++++++++++++%3cChartType%3exlBarClustered%3c%2fChartType%3e%0d%0a++++++++++++++++++%3cChartHeight%3e140.25%3c%2fChartHeight%3e%0d%0a++++++++++++++++++%3cChartWidth%3e348%3c%2fChartWidth%3e%0d%0a++++++++++++++++++%3cPlotHeight%3e118.25%3c%2fPlotHeight%3e%0d%0a++++++++++++++++++%3cPlotWidth%3e285.720472440945%3c%2fPlotWidth%3e%0d%0a++++++++++++++++++%3cPlotTop%3e7%3c%2fPlotTop%3e%0d%0a++++++++++++++++++%3cPlotLeft%3e7%3c%2fPlotLeft%3e%0d%0a++++++++++++++++++%3cPlotColor%3e-1%3c%2fPlotColor%3e%0d%0a++++++++++++++++++%3cWallColor%3e-1%3c%2fWallColor%3e%0d%0a++++++++++++++++++%3cLegendBoxBackColor%3e-65537%3c%2fLegendBoxBackColor%3e%0d%0a++++++++++++++++++%3cLegendBoxTop%3e57.0835433070866%3c%2fLegendBoxTop%3e%0d%0a++++++++++++++++++%3cLegendBoxLeft%3e303.720472440945%3c%2fLegendBoxLeft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true%3c%2fYAxisHasMajorGrid%3e%0d%0a++++++++++++++++++%3cXAxisHasMinorGrid%3efalse%3c%2fXAxisHasMinorGrid%3e%0d%0a++++++++++++++++++%3cYAxisHasMinorGrid%3efalse%3c%2fYAxisHasMinorGrid%3e%0d%0a++++++++++++++++++%3cTop%3e0.761899917844743%3c%2fTop%3e%0d%0a++++++++++++++++++%3cLeft%3e0.0606060606060606%3c%2fLeft%3e%0d%0a++++++++++++++++++%3cTitle+%2f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NPV%3c%2fName%3e%0d%0a++++++++++++++++++++++%3cColor%3e-11566659%3c%2fColor%3e%0d%0a++++++++++++++++++++++%3cBorderColor%3e-65537%3c%2fBorderColor%3e%0d%0a++++++++++++++++++++%3c%2fSeries%3e%0d%0a++++++++++++++++++%3c%2fSeriesCollection%3e%0d%0a++++++++++++++++++%3cLegendPosition+%2f%3e%0d%0a++++++++++++++++++%3cHasLegend%3etrue%3c%2fHasLegend%3e%0d%0a++++++++++++++++++%3cTopLeftRangeAddress%3e%3d'NPV'!%24P%245%3c%2fTopLeftRangeAddress%3e%0d%0a++++++++++++++++++%3cAbsoluteTop%3e77.2499237060547%3c%2fAbsoluteTop%3e%0d%0a++++++++++++++++++%3cAbsoluteLeft%3e372.75%3c%2fAbsoluteLeft%3e%0d%0a++++++++++++++++%3c%2fChart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1471%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%3e++Years+of+Return+of+Projects%3c%2fText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1472%3c%2fStyle%3e%0d%0a++++++++++++++++%3cMerge%3eTrue%3c%2fMerge%3e%0d%0a++++++++++++++++%3cRowSpan+%2f%3e%0d%0a++++++++++++++++%3cColSpan%3e2%3c%2fColSpan%3e%0d%0a+++++++++++++++</t>
  </si>
  <si>
    <t xml:space="preserve"> +%3cFormat%3eGeneral%3c%2fFormat%3e%0d%0a++++++++++++++++%3cWidth%3e49.5%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6%3c%2fY%3e%0d%0a++++++++++++++++%3cInputCell%3e%0d%0a++++++++++++++++++%3cAddress%3e%3d'NPV'!%24L%246%3c%2fAddress%3e%0d%0a++++++++++++++++++%3cListItemsAddress+%2f%3e%0d%0a++++++++++++++++++%3cType%3e0%3c%2fType%3e%0d%0a++++++++++++++++++%3cNameIndex%3e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8%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%3e(up+to+20+years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</t>
  </si>
  <si>
    <t xml:space="preserve"> 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1474%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+%2f%3e%0d%0a++++++++++++++++%3cHeight%3e15.75%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8%3c%2fY%3e%0d%0a++++++++++++++++%3cImages+%2f%3e%0d%0a++++++++++++++++%3cFormControls+%2f%3e%0d%0a++++++++++++++++%3cGrid+%2f%3e%0d%0a++++++++++++++%3c%2fTD%3e%0d%0a+</t>
  </si>
  <si>
    <t xml:space="preserve"> 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1471%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%3e++MARR+(Minimum+Acceptable+Rate+of+Return)%3c%2fText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1472%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9%3c%2fY%3e%0d%0a++++++++++++++++%3cInputCell%3e%0d%0a++++++++++++++++++%3cAddress%3e%3d'NPV'!%24L%249%3c%2fAddress%3e%0d%0a++++++++++++++++++%3cListItemsAddress+%2f%3e%0d%0a++++++++++++++++++%3cType%3e0%3c%2fType%3e%0d%0a++++++++++++++++++%3cNameIndex%3e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</t>
  </si>
  <si>
    <t xml:space="preserve"> DefaultValue%3e10%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%3e%25%3c%2fText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+%2f%3e%0d%0a++++++++++++++++%3cHeight%3e15.75%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</t>
  </si>
  <si>
    <t xml:space="preserve"> %3e%0d%0a++++++++++++++++%3cFontName%3eCalibri%3c%2fFontName%3e%0d%0a++++++++++++++++%3cWrapText%3eFalse%3c%2fWrapText%3e%0d%0a++++++++++++++++%3cFontSize%3e11%3c%2fFontSize%3e%0d%0a++++++++++++++++%3cX%3e13%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1471%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%3e++Interest+Rate%3c%2fText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1472%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11%3c%2fY%3e%0d%0a++++++++++++++++%3cInputCell%3e%0d%0a++++++++++++++++++%3cAddress%3e%3d'NPV'!%24L%2411%3c%2fAddress%3e%0d%0a++++++++++++++++++%3cListItemsAddress+%2f%3e%0d%0a++++++++++++++++++%3cType%3e0%3c%2fType%3e%0d%0a++++++++++++++++++%3cNameIndex%3e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</t>
  </si>
  <si>
    <t xml:space="preserve"> 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%3e%25%3c%2fText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True%3c%2fMerge%3e%0d%0a++++++++++++++++%3cRowSpan+%2f%3e%0d%0a++++++++++++++++%3cColSpan%3e9%3c%2fColSpan%3e%0d%0a++++++++++++++++%3cFormat%3eGeneral%3c%2fFormat%3e%0d%0a++++++++++++++++%3cWidth%3e222.75%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</t>
  </si>
  <si>
    <t xml:space="preserve"> 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</t>
  </si>
  <si>
    <t xml:space="preserve"> 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</t>
  </si>
  <si>
    <t xml:space="preserve"> 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</t>
  </si>
  <si>
    <t xml:space="preserve"> 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15%3c%2fY%3e%0d%0a++++++++++++++++%3cImages+%2f%3e%0d%0a++++++++++++++++%3</t>
  </si>
  <si>
    <t xml:space="preserve"> 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1477%3c%2fStyle%3e%0d%0a++++++++++++++++%3cMerge%3eTrue%3c%2fMerge%3e%0d%0a++++++++++++++++%3cRowSpan+%2f%3e%0d%0a++++++++++++++++%3cColSpan%3e23%3c%2fColSpan%3e%0d%0a++++++++++++++++%3cFormat%3eGeneral%3c%2fFormat%3e%0d%0a++++++++++++++++%3cWidth%3e569.25%3c%2fWidth%3e%0d%0a++++++++++++++++%3cText%3eInvestment+Options+(order+the+options+in+the+increasing+order+of+Initial+Investments%3c%2fText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</t>
  </si>
  <si>
    <t xml:space="preserve"> cText+%2f%3e%0d%0a++++++++++++++++%3cHeight%3e16.5%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16.5%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1479%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%3eOption+Number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1480%3c%2fStyle%3e%0d%0a++++++++++++++++%3cMerge%3eTrue%3c%2fMerge%3e%0d%0a++++++++++++++++%3cRowSpan%3e2%3c%2fRowSpan%3e%0d%0a++++++++++++++++%3cColSpan%3e6%3c%2fColSpan%3e%0d%0a++++++++++++++++%3cFormat%3eGeneral%3c%2fFormat%3e%0d%0a++++++++++++++++%3cWidth%3e148.5%3c%2fWidth%3e%0d%0a++++++++++++++++%3cText%3eExplanation%3c%2fText%3e%0d%0a++++++++++++++++%3cHeight%3e30%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1481%3c%2fStyle%3e%0d%0a++++++++++++++++%3cMerge%3eTrue%3c%2fMerge%3e%0d%0a++++++++++++++++%3cRowSpan%3e2%3c%2fRowSpan%3e%0d%0a++++++++++++++++%3cColSpan%3e3%3c%2fColSpan%3e%0d%0a++++++++++++++++%3cFormat%3eGeneral%3c%2fFormat%3e%0d%0a++++++++++++++++%3cWidth%3e74.25%3c%2fWidth%3e%0d%0a++++++++++++++++%3cText%3eInitial+Investments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11%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1481%3c%2fStyle%3e%0d%0a++++++++++++++++%3cMerge%3eTrue%3c%2fMerge%3e%0d%0a++++++++++++++++%3cRowSpan%3e2%3c%2fRowSpan%3e%0d%0a++++++++++++++++%3cColSpan%3e3%3c%2fColSpan%3e%0d%0a++++++++++++++++%3cFormat%3eGeneral%3c%2fFormat%3e%0d%0a++++++++++++++++%3cWidth%3e74.25%3c%2fWidth%3e%0d%0a++++++++++++++++%3cText%3eAnnual+Return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14%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1481%3c%2fStyle%3e%0d%0a++++++++++++++++%3cMerge%3eTrue%3c%2fMerge%3e%0d%0a++++++++++++++++%3cRowSpan%3e2%3c%2fRowSpan%3e%0d%0a++++++++++++++++%3cColSpan%3e3%3c%2fColSpan%3e%0d%0a++++++++++++++++%3cFormat%3eGeneral%3c%2fFormat%3e%0d%0a++++++++++++++++%3cWidth%3e74.25%3c%2fWidth%3e%0d%0a++++++++++++++++%3cText%3eAnnual+Disbursement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17%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1481%3c%2fStyle%3e%0d%0a++++++++++++++++%3cMerge%3eTrue%3c%2fMerge%3e%0d%0a++++++++++++++++%3cRowSpan%3e2%3c%2fRowSpan%3e%0d%0a++++++++++++++++%3cColSpan%3e3%3c%2fColSpan%3e%0d%0a++++++++++++++++%3cFormat%3eGeneral%3c%2fFormat%3e%0d%0a++++++++++++++++%3cWidth%3e74.25%3c%2fWidth%3e%0d%0a++++++++++++++++%3cText%3eAnnual+Net+Cash+Flow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20%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1481%3c%2fStyle%3e%0d%0a++++++++++++++++%3cMerge%3eTrue%3c%2fMerge%3e%0d%0a++++++++++++++++%3cRowSpan%3e2%3c%2fRowSpan%3e%0d%0a++++++++++++++++%3cColSpan%3e3%3c%2fColSpan%3e%0d%0a++++++++++++++++%3cFormat%3eGeneral%3c%2fFormat%3e%0d%0a++++++++++++++++%3cWidth%3e74.25%3c%2fWidth%3e%0d%0a++++++++++++++++%3cText%3eScrap+Value+at+the+end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23%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1482%3c%2fStyle%3e%0d%0a++++++++++++++++%3cMerge%3eTrue%3c%2fMerge%3e%0d%0a++++++++++++++++%3cRowSpan%3e2%3c%2fRowSpan%3e%0d%0a++++++++++++++++%3cColSpan%3e3%3c%2fColSpan%3e%0d%0a++++++++++++++++%3cFormat%3eGeneral%3c%2fFormat%3e%0d%0a++++++++++++++++%3cWidth%3e74.25%3c%2fWidth%3e%0d%0a++++++++++++++++%3cText%3eNPV+of+the+Projects%3c%2fText%3e%0d%0a++++++++++++++++%3cHeight%3e30%3c%2fHeight%3e%0d%0a++++++++++++++++%3cAlign%3eCenter%3c%2fAlign%3e%0d%0a++++++++++++++++%3cVerticalAlign+%2f%3e%0d%0a++++++++++++++++%3cCellHasFormula%3eFalse%3c%2fCellHasFormula%3e%0d%0a++++++++++++++++%3cFontName%3eCalibri%3c%2fFontName%3e%0d%0a++++++++++++++++%3cWrapText%3eTrue%3c%2fWrapText%3e%0d%0a++++++++++++++++%3cFontSize%3e11%3c%2fFontSize%3e%0d%0a++++++++++++++++%3cX%3e27%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18%3c%2fY%3e%0d%0a++++++++++++++++%3cImages+%2f%3e%0d%0a++++++++++++++++%3cFormControls+%2f%3e%0d%0a++++++++++++++++%3cGrid+%2f%3e%0d%0a++++++++++++++%3c%2fTD%3e%0d%0a++++++++++++++%3cTD%3e%0d%0a++++++++++++++++%3cPSCFormate</t>
  </si>
  <si>
    <t xml:space="preserve"> d%3efalse%3c%2fPSCFormated%3e%0d%0a++++++++++++++++%3cStyle%3eClass1476%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1485%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0%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1486%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19%3c%2fY%3e%0d%0a++++++++++++++++%3cInputCell%3e%0d%0a++++++++++++++++++%3cAddress%3e%3d'NPV'!%24E%2419%3c%2fAddress%3e%0d%0a++++++++++++++++++%3cListItemsAddress+%2f%3e%0d%0a++++++++++++++++++%3cType%3e0%3c%2fType%3e%0d%0a++++++++++++++++++%3cNameIndex%3e3%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Do+Nothing%3c%2fDefaultValue%3e%0d%0a++++++++++++++++++%3cValueType%3eSystem.String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1487%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19%3c%2fY%3e%0d%0a++++++++++++++++%3cInputCell%3e%0d%0a++++++++++++++++++%3cAddress%3e%3d'NPV'!%24K%2419%3c%2fAddress%3e%0d%0a++++++++++++++++++%3cListItemsAddress+%2f%3e%0d%0a++++++++++++++++++%3cType%3e0%3c%2fType%3e%0d%0a++++++++++++++++++%3cNameIndex%3e4%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1487%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19%3c%2fY%3e%0d%0a++++++++++++++++%3cInputCell%3e%0d%0a++++++++++++++++++%3cAddress%3e%3d'NPV'!%24N%2419%3c%2fAddress%3e%0d%0a++++++++++++++++++%3cListItemsAddress+%2f%3e%0d%0a++++++++++++++++++%3cType%3e0%3c%2fType%3e%0d%0a++++++++++++++++++%3cNameIndex%3e5%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1487%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19%3c%2fY%3e%0d%0a++++++++++++++++%3cInputCell%3e%0d%0a++++++++++++++++++%3cAddress%3e%3d'NPV'!%24Q%2419%3c%2fAddress%3e%0d%0a++++++++++++++++++%3cListItemsAddress+%2f%3e%0d%0a++++++++++++++++++%3cType%3e0%3c%2fType%3e%0d%0a++++++++++++++++++%3cNameIndex%3e6%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1488%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%3e0%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1487%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19%3c%2fY%3e%0d%0a++++++++++++++++%3cInputCell%3e%0d%0a++++++++++++++++++%3cAddress%3e%3d'NPV'!%24W%2419%3c%2fAddress%3e%0d%0a++++++++++++++++++%3cListItemsAddress+%2f%3e%0d%0a++++++++++++++++++%3cType%3e0%3c%2fType%3e%0d%0a++++++++++++++++++%3cNameIndex%3e27%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1490%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%3e0%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</t>
  </si>
  <si>
    <t xml:space="preserve"> ellHasFormula%3e%0d%0a++++++++++++++++%3cFontName%3eCalibri%3c%2fFontName%3e%0d%0a++++++++++++++++%3cWrapText%3eFalse%3c%2fWrapText%3e%0d%0a++++++++++++++++%3cFontSize%3e11%3c%2fFontSize%3e%0d%0a++++++++++++++++%3cX%3e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1492%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1%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1493%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20%3c%2fY%3e%0d%0a++++++++++++++++%3cInputCell%3e%0d%0a++++++++++++++++++%3cAddress%3e%3d'NPV'!%24E%2420%3c%2fAddress%3e%0d%0a++++++++++++++++++%3cListItemsAddress+%2f%3e%0d%0a++++++++++++++++++%3cType%3e0%3c%2fType%3e%0d%0a++++++++++++++++++%3cNameIndex%3e7%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Purchase+Machine+A%3c%2fDefaultValue%3e%0d%0a++++++++++++++++++%3cValueType%3eSystem.String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20%3c%2fY%3e%0d%0a++++++++++++++++%3cInputCell%3e%0d%0a++++++++++++++++++%3cAddress%3e%3d'NPV'!%24K%2420%3c%2fAddress%3e%0d%0a++++++++++++++++++%3cListItemsAddress+%2f%3e%0d%0a++++++++++++++++++%3cType%3e0%3c%2fType%3e%0d%0a++++++++++++++++++%3cNameIndex%3e8%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1000%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20%3c%2fY%3e%0d%0a++++++++++++++++%3cInputCell%3e%0d%0a++++++++++++++++++%3cAddress%3e%3d'NPV'!%24N%2420%3c%2fAddress%3e%0d%0a++++++++++++++++++%3cListItemsAddress+%2f%3e%0d%0a++++++++++++++++++%3cType%3e0%3c%2fType%3e%0d%0a++++++++++++++++++%3cNameIndex%3e9%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250%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20%3c%2fY%3e%0d%0a++++++++++++++++%3cInputCell%3e%0d%0a++++++++++++++++++%3cAddress%3e%3d'NPV'!%24Q%2420%3c%2fAddress%3e%0d%0a++++++++++++++++++%3cListItemsAddress+%2f%3e%0d%0a++++++++++++++++++%3cType%3e0%3c%2fType%3e%0d%0a++++++++++++++++++%3cNameIndex%3e10%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50%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20%3c%2fY%3e%0d%0a++++++++++++++++%3cInputCell%3e%0d%0a++++++++++++++++++%3cAddress%3e%3d'NPV'!%24W%2420%3c%2fAddress%3e%0d%0a++++++++++++++++++%3cListItemsAddress+%2f%3e%0d%0a++++++++++++++++++%3cType%3e0%3c%2fType%3e%0d%0a++++++++++++++++++%3cNameIndex%3e28%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1496%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1497%3c%2fStyle%3e%0d%0a++++++++++++++++%3cMerge%3eTrue%3c%2fMerge%3e%0d%0a++++++++++++++++%3cRowSpan+%2f%3e%0d%0a++++++++++++++++%3cColSpan%3e7%3c%2fColSpan%3e%0d%0a++++++++++++++++%3cFormat%3eGeneral%3c%2fFormat%3e%0d%0a++++++++++++++++%3cWidth%3e173.25%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1498%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2%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1493%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21%3c%2fY%3e%0d%0a++++++++++++++++%3cInputCell%3e%0d%0a++++++++++++++++++%3cAddress%3e%3d'NPV'!%24E%2421%3c%2fAddress%3e%0d%0a++++++++++++++++++%3cListItemsAddress+%2f%3e%0d%0a++++++++++++++++++%3cType%3e0%3c%2fType%3e%0d%0a++++++++++++++++++%3cNameIndex%3e11%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Purchase+Machine+B%3c%2fDefaultValue%3e%0d%0a++++++++++++++++++%3cValueType%3eSystem.String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21%3c%2fY%3e%0d%0a++++++++++++++++%3cInputCell%3e%0d%0a++++++++++++++++++%3cAddress%3e%3d'NPV'!%24K%2421%3c%2fAddress%3e%0d%0a++++++++++++++++++%3cListItemsAddress+%2f%3e%0d%0a++++++++++++++++++%3cType%3e0%3c%2fType%3e%0d%0a++++++++++++++++++%3cNameIndex%3e12%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1200%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21%3c%2fY%3e%0d%0a++++++++++++++++%3cInputCell%3e%0d%0a++++++++++++++++++%3cAddress%3e%3d'NPV'!%24N%2421%3c%2fAddress%3e%0d%0a++++++++++++++++++%3cListItemsAddress+%2f%3e%0d%0a++++++++++++++++++%3cType%3e0%3c%2fType%3e%0d%0a++++++++++++++++++%3cNameIndex%3e13%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330%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</t>
  </si>
  <si>
    <t xml:space="preserve"> 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21%3c%2fY%3e%0d%0a++++++++++++++++%3cInputCell%3e%0d%0a++++++++++++++++++%3cAddress%3e%3d'NPV'!%24Q%2421%3c%2fAddress%3e%0d%0a++++++++++++++++++%3cListItemsAddress+%2f%3e%0d%0a++++++++++++++++++%3cType%3e0%3c%2fType%3e%0d%0a++++++++++++++++++%3cNameIndex%3e14%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60%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1499%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21%3c%2fY%3e%0d%0a++++++++++++++++%3cInputCell%3e%0d%0a++++++++++++++++++%3cAddress%3e%3d'NPV'!%24W%2421%3c%2fAddress%3e%0d%0a++++++++++++++++++%3cListItemsAddress+%2f%3e%0d%0a++++++++++++++++++%3cType%3e0%3c%2fType%3e%0d%0a++++++++++++++++++%3cNameIndex%3e29%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220%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1500%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1497%3c%2fStyle%3e%0d%0a++++++++++++++++%3cMerge%3eTrue%3c%2fMerge%3e%0d%0a++++++++++++++++%3cRowSpan+%2f%3e%0d%0a++++++++++++++++%3cColSpan%3e7%3c%2fColSpan%3e%0d%0a++++++++++++++++%3cFormat%3eGeneral%3c%2fFormat%3e%0d%0a++++++++++++++++%3cWidth%3e173.25%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1501%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3%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1493%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22%3c%2fY%3e%0d%0a++++++++++++++++%3cInputCell%3e%0d%0a++++++++++++++++++%3cAddress%3e%3d'NPV'!%24E%2422%3c%2fAddress%3e%0d%0a++++++++++++++++++%3cListItemsAddress+%2f%3e%0d%0a++++++++++++++++++%3cType%3e0%3c%2fType%3e%0d%0a++++++++++++++++++%3cNameIndex%3e15%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Purchase+Machine+A%26amp%3bB%3c%2fDefaultValue%3e%0d%0a++++++++++++++++++%3cValueType%3eSystem.String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22%3c%2fY%3e%0d%0a++++++++++++++++%3cInputCell%3e%0d%0a++++++++++++++++++%3cAddress%3e%3d'NPV'!%24K%2422%3c%2fAddress%3e%0d%0a++++++++++++++++++%3cListItemsAddress+%2f%3e%0d%0a++++++++++++++++++%3cType%3e0%3c%2fType%3e%0d%0a++++++++++++++++++%3cNameIndex%3e16%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2000%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22%3c%2fY%3e%0d%0a++++++++++++++++%3cInputCell%3e%0d%0a++++++++++++++++++%3cAddress%3e%3d'NPV'!%24N%2422%3c%2fAddress%3e%0d%0a++++++++++++++++++%3cListItemsAddress+%2f%3e%0d%0a++++++++++++++++++%3cType%3e0%3c%2fType%3e%0d%0a++++++++++++++++++%3cNameIndex%3e17%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500%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22%3c%2fY%3e%0d%0a++++++++++++++++%3cInputCell%3e%0d%0a++++++++++++++++++%3cAddress%3e%3d'NPV'!%24Q%2422%3c%2fAddress%3e%0d%0a++++++++++++++++++%3cListItemsAddress+%2f%3e%0d%0a++++++++++++++++++%3cType%3e0%3c%2fType%3e%0d%0a++++++++++++++++++%3cNameIndex%3e18%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110%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1502%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22%3c%2fY%3e%0d%0a++++++++++++++++%3cInputCell%3e%0d%0a++++++++++++++++++%3cAddress%3e%3d'NPV'!%24W%2422%3c%2fAddress%3e%0d%0a++++++++++++++++++%3cListItemsAddress+%2f%3e%0d%0a++++++++++++++++++%3cType%3e0%3c%2fType%3e%0d%0a++++++++++++++++++%3cNameIndex%3e30%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420%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1503%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1497%3c%2fStyle%3e%0d%0a++++++++++++++++%3cMerge%3eTrue%3c%2fMerge%3e%0d%0a++++++++++++++++%3cRowSpan+%2f%3e%0d%0a++++++++++++++++%3cColSpan%3e7%3c%2fColSpan%3e%0d%0a++++++++++++++++%3cFormat%3eGeneral%3c%2fFormat%3e%0d%0a++++++++++++++++%3cWidth%3e173.25%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22%3c%2fY%3e%0d%0a++++++++++++++++%3cImages+%2f%3e%0d%0a++++++++++++</t>
  </si>
  <si>
    <t xml:space="preserve"> 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1504%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4%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1493%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23%3c%2fY%3e%0d%0a++++++++++++++++%3cInputCell%3e%0d%0a++++++++++++++++++%3cAddress%3e%3d'NPV'!%24E%2423%3c%2fAddress%3e%0d%0a++++++++++++++++++%3cListItemsAddress+%2f%3e%0d%0a++++++++++++++++++%3cType%3e0%3c%2fType%3e%0d%0a++++++++++++++++++%3cNameIndex%3e19%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Purchase+Machine+C%3c%2fDefaultValue%3e%0d%0a++++++++++++++++++%3cValueType%3eSystem.String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23%3c%2fY%3e%0d%0a++++++++++++++++%3cInputCell%3e%0d%0a++++++++++++++++++%3cAddress%3e%3d'NPV'!%24K%2423%3c%2fAddress%3e%0d%0a++++++++++++++++++%3cListItemsAddress+%2f%3e%0d%0a++++++++++++++++++%3cType%3e0%3c%2fType%3e%0d%0a++++++++++++++++++%3cNameIndex%3e20%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2500%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23%3c%2fY%3e%0d%0a++++++++++++++++%3cInputCell%3e%0d%0a++++++++++++++++++%3cAddress%3e%3d'NPV'!%24N%2423%3c%2fAddress%3e%0d%0a++++++++++++++++++%3cListItemsAddress+%2f%3e%0d%0a++++++++++++++++++%3cType%3e0%3c%2fType%3e%0d%0a++++++++++++++++++%3cNameIndex%3e21%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600%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23%3c%2fY%3e%0d%0a++++++++++++++++%3cInputCell%3e%0d%0a++++++++++++++++++%3cAddress%3e%3d'NPV'!%24Q%2423%3c%2fAddress%3e%0d%0a++++++++++++++++++%3cListItemsAddress+%2f%3e%0d%0a++++++++++++++++++%3cType%3e0%3c%2fType%3e%0d%0a++++++++++++++++++%3cNameIndex%3e22%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150%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1505%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23%3c%2fY%3e%0d%0a++++++++++++++++%3cInputCell%3e%0d%0a++++++++++++++++++%3cAddress%3e%3d'NPV'!%24W%2423%3c%2fAddress%3e%0d%0a++++++++++++++++++%3cListItemsAddress+%2f%3e%0d%0a++++++++++++++++++%3cType%3e0%3c%2fType%3e%0d%0a++++++++++++++++++%3cNameIndex%3e31%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1506%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1497%3c%2fStyle%3e%0d%0a++++++++++++++++%3cMerge%3eTrue%3c%2fMerge%3e%0d%0a++++++++++++++++%3cRowSpan+%2f%3e%0d%0a++++++++++++++++%3cColSpan%3e7%3c%2fColSpan%3e%0d%0a++++++++++++++++%3cFormat%3eGeneral%3c%2fFormat%3e%0d%0a++++++++++++++++%3cWidth%3e173.25%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1507%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5%3c%2fText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1508%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24%3c%2fY%3e%0d%0a++++++++++++++++%3cInputCell%3e%0d%0a++++++++++++++++++%3cAddress%3e%3d'NPV'!%24E%2424%3c%2fAddress%3e%0d%0a++++++++++++++++++%3cListItemsAddress+%2f%3e%0d%0a++++++++++++++++++%3cType%3e0%3c%2fType%3e%0d%0a++++++++++++++++++%3cNameIndex%3e23%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Purchase+Machine+A%26amp%3bC%3c%2fDefaultValue%3e%0d%0a++++++++++++++++++%3cValueType%3eSystem.String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1509%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24%3c%2fY%3e%0d%0a++++++++++++++++%3cInputCell%3e%0d%0a++++++++++++++++++%3cAddress%3e%3d'NPV'!%24K%2424%3c%2fAddress%3e%0d%0a++++++++++++++++++%3cListItemsAddress+%2f%3e%0d%0a++++++++++++++++++%3cType%3e0%3c%2fType%3e%0d%0a++++++++++++++++++%3cNameIndex%3e24%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3300%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1509%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</t>
  </si>
  <si>
    <t xml:space="preserve"> 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24%3c%2fY%3e%0d%0a++++++++++++++++%3cInputCell%3e%0d%0a++++++++++++++++++%3cAddress%3e%3d'NPV'!%24N%2424%3c%2fAddress%3e%0d%0a++++++++++++++++++%3cListItemsAddress+%2f%3e%0d%0a++++++++++++++++++%3cType%3e0%3c%2fType%3e%0d%0a++++++++++++++++++%3cNameIndex%3e25%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900%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1509%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24%3c%2fY%3e%0d%0a++++++++++++++++%3cInputCell%3e%0d%0a++++++++++++++++++%3cAddress%3e%3d'NPV'!%24Q%2424%3c%2fAddress%3e%0d%0a++++++++++++++++++%3cListItemsAddress+%2f%3e%0d%0a++++++++++++++++++%3cType%3e0%3c%2fType%3e%0d%0a++++++++++++++++++%3cNameIndex%3e26%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1510%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1509%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24%3c%2fY%3e%0d%0a++++++++++++++++%3cInputCell%3e%0d%0a++++++++++++++++++%3cAddress%3e%3d'NPV'!%24W%2424%3c%2fAddress%3e%0d%0a++++++++++++++++++%3cListItemsAddress+%2f%3e%0d%0a++++++++++++++++++%3cType%3e0%3c%2fType%3e%0d%0a++++++++++++++++++%3cNameIndex%3e32%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1511%3c%2fStyle%3e%0d%0a++++++++++++++++%3cMerge%3eTrue%3c%2fMerge%3e%0d%0a++++++++++++++++%3cRowSpan+%2f%3e%0d%0a++++++++++++++++%3cColSpan%3e3%3c%2fColSpan%3e%0d%0a++++++++++++++++%3cFormat%3e%23%2c%23%230%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1497%3c%2fStyle%3e%0d%0a++++++++++++++++%3cMerge%3eTrue%3c%2fMerge%3e%0d%0a++++++++++++++++%3cRowSpan+%2f%3e%0d%0a++++++++++++++++%3cColSpan%3e7%3c%2fColSpan%3e%0d%0a++++++++++++++++%3cFormat%3eGeneral%3c%2fFormat%3e%0d%0a++++++++++++++++%3cWidth%3e173.25%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1512%3c%2fStyle%3e%0d%0a++++++++++++++++%3cMerge%3eTrue%3c%2fMerge%3e%0d%0a++++++++++++++++%3cRowSpan+%2f%3e%0d%0a++++++++++++++++%3cColSpan%3e23%3c%2fColSpan%3e%0d%0a++++++++++++++++%3cFormat%3eGeneral%3c%2fFormat%3e%0d%0a++++++++++++++++%3cWidth%3e569.25%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</t>
  </si>
  <si>
    <t xml:space="preserve"> 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%3ePagos.SpreadsheetWEB.Button.CALCULATE_Calculate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</t>
  </si>
  <si>
    <t xml:space="preserve"> 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1515%3c%2fStyle%3e%0d%0a++++++++++++++++%3cMerge%3eTrue%3c%2fMerge%3e%0d%0a++++++++++++++++%3cRowSpan+%2f%3e%0d%0a++++++++++++++++%3cColSpan%3e14%3c%2fColSpan%3e%0d%0a++++++++++++++++%3cFormat%3eGeneral%3c%2fFormat%3e%0d%0a++++++++++++++++%3cWidth%3e346.5%3c%2fWidth%3e%0d%0a++++++++++++++++%3cText%3eNPV+Analysis+of+the+Project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1516%3c%2fStyle%3e%0d%0a++++++++++++++++%3cMerge%3eTrue%3c%2fMerge%3e%0d%0a++++++++++++++++%3cRowSpan+%2f%3e%0d%0a++++++++++++++++%3cColSpan%3e14%3c%2fColSpan%3e%0d%0a++++++++++++++++%3cFormat%3eGeneral%3c%2fFormat%3e%0d%0a++++++++++++++++%3cWidth%3e346.5%3c%2fWidth%3e%0d%0a++++++++++++++++%3cText+%2f%3e%0d%0a++++++++++++++++%3cHeight%3e15.75%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12%3c%2fFontSize%3e%0d%0a++++++++++++++++%3</t>
  </si>
  <si>
    <t xml:space="preserve"> cX%3e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</t>
  </si>
  <si>
    <t xml:space="preserve"> 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30%3c%2fY%3e</t>
  </si>
  <si>
    <t xml:space="preserve"> 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</t>
  </si>
  <si>
    <t xml:space="preserve"> 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1519%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1520%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1521%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1522%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24%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1523%3c%2fStyle%3e%0d%0a++++++++++++++++%3cMerge%3eTrue%3c%2fMerge%3e%0d%0a++++++++++++++++%3cRowSpan+%2f%3e%0d%0a++++++++++++++++%3cColSpan%3e6%3c%2fColSpan%3e%0d%0a++++++++++++++++%3cFormat%3eGeneral%3c%2fFormat%3e%0d%0a++++++++++++++++%3cWidth%3e148.5%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1525%3c%2fStyle%3e%0d%0a++++++++++++++++%3cMerge%3eTrue%3c%2fMerge%3e%0d%0a++++++++++++++++%3cRowSpan%3e2%3c%2fRowSpan%3e%0d%0a++++++++++++++++%3cColSpan+%2f%3e%0d%0a++++++++++++++++%3cFormat%3eGeneral%3c%2fFormat%3e%0d%0a++++++++++++++++%3cWidth%3e24.75%3c%2fWidth%3e%0d%0a++++++++++++++++%3cText%3eYear%3c%2fText%3e%0d%0a++++++++++++++++%3cHeight%3e30.75%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1526%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%3ePV+Factor%3c%2fText%3e%0d%0a++++++++++++++++%3cHeight%3e30.75%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1527%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1528%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1528%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10%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1529%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12%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1530%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14%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1530%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16%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1531%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18%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1532%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</t>
  </si>
  <si>
    <t xml:space="preserve"> Size%3e%0d%0a++++++++++++++++%3cX%3e20%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1532%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22%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1533%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24%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1534%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26%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1534%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28%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1535%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30%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1536%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32%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1536%3c%2fStyle%3e%0d%0a++++++++++++++++%3cMerge%3eTrue%3c%2fMerge%3e%0d%0a++++++++++++++++%3cRowSpan%3e2%3c%2fRowSpan%3e%0d%0a++++++++++++++++%3cColSpan%3e2%3c%2fColSpan%3e%0d%0a++++++++++++++++%3cFormat%3eGeneral%3c%2fFormat%3e%0d%0a++++++++++++++++%3cWidth%3e49.5%3c%2fWidth%3e%0d%0a++++++++++++++++%3cText+%2f%3e%0d%0a++++++++++++++++%3cHeight%3e30.75%3c%2fHeight%3e%0d%0a++++++++++++++++%3cAlign%3eRight%3c%2fAlign%3e%0d%0a++++++++++++++++%3cVerticalAlign+%2f%3e%0d%0a++++++++++++++++%3cCellHasFormula%3eTrue%3c%2fCellHasFormula%3e%0d%0a++++++++++++++++%3cFontName%3eCalibri%3c%2fFontName%3e%0d%0a++++++++++++++++%3cWrapText%3eTrue%3c%2fWrapText%3e%0d%0a++++++++++++++++%3cFontSize%3e10%3c%2fFontSize%3e%0d%0a++++++++++++++++%3cX%3e34%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1524%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1539%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%3e1%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Arial%3c%2fFontName%3e%0d%0a++++++++++++++++%3cWrapText%3eFalse%3c%2fWrapText%3e%0d%0a++++++++++++++++%3cFontSize%3e9%3c%2fFontSize%3e%0d%0a++++++++++++++++%3cX%3e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1547%3c%2fStyle%3e%0d%0a++++++++++++++++%3cMerge%3eTrue%3c%2fMerge%3e%</t>
  </si>
  <si>
    <t xml:space="preserve"> 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1549%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</t>
  </si>
  <si>
    <t xml:space="preserve"> 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</t>
  </si>
  <si>
    <t xml:space="preserve"> 2fFontName%3e%0d%0a++++++++++++++++%3cWrapText%3eFalse%3c%2fWrapText%3e%0d%0a++++++++++++++++%3cFontSize%3e9%3c%2fFontSize%3e%0d%0a++++++++++++++++%3cX%3e16%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38%3c%2fY%3e%0d%0a++++++++++++++++%3cImages+%2f%3e%0d%0a++++++++++++++++%3cFormControls+%2</t>
  </si>
  <si>
    <t xml:space="preserve"> 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</t>
  </si>
  <si>
    <t xml:space="preserve"> 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</t>
  </si>
  <si>
    <t xml:space="preserve"> 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</t>
  </si>
  <si>
    <t xml:space="preserve"> ext%3eFalse%3c%2fWrapText%3e%0d%0a++++++++++++++++%3cFontSize%3e11%3c%2fFontSize%3e%0d%0a++++++++++++++++%3cX%3e37%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44%3c%2fY%3e%0d%0a++++++++++++++++%3cImages+%2f%3e%0d%0a+++</t>
  </si>
  <si>
    <t xml:space="preserve"> 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</t>
  </si>
  <si>
    <t xml:space="preserve"> 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</t>
  </si>
  <si>
    <t xml:space="preserve"> 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</t>
  </si>
  <si>
    <t xml:space="preserve"> tName%3eArial%3c%2fFontName%3e%0d%0a++++++++++++++++%3cWrapText%3eFalse%3c%2fWrapText%3e%0d%0a++++++++++++++++%3cFontSize%3e9%3c%2fFontSize%3e%0d%0a++++++++++++++++%3cX%3e16%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49%3c%2fY%3e%0d%0a++++++++++++++++%3cImages+%2f%3e%0d%0a++++++++++++++++%</t>
  </si>
  <si>
    <t xml:space="preserve"> 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49%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</t>
  </si>
  <si>
    <t xml:space="preserve"> 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</t>
  </si>
  <si>
    <t xml:space="preserve"> 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1551%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1559%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</t>
  </si>
  <si>
    <t xml:space="preserve"> +++++++++%3cWrapText%3eFalse%3c%2fWrapText%3e%0d%0a++++++++++++++++%3cFontSize%3e11%3c%2fFontSize%3e%0d%0a++++++++++++++++%3cX%3e37%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1473%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1537%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1563%3c%2fStyle%3e%0d%0a++++++++++++++++%3cMerge%3eTrue%3c%2fMerge%3e%0d%0a++++++++++++++++%3cRowSpan+%2f%3e%0d%0a++++++++++++++++%3cColSpan%3e2%3c%2fColSpan%3e%0d%0a++++++++++++++++%3cFormat%3e0%25%3c%2fFormat%3e%0d%0a++++++++++++++++%3cWidth%3e49.5%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1564%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1565%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1566%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1567%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1568%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18%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1569%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1570%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1571%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28%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1572%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1573%3c%2fStyle%3e%0d%0a++++++++++++++++%3cMerge%3eTrue%3c%2fMerge%3e%0d%0a++++++++++++++++%3cRowSpan+%2f%3e%0d%0a++++++++++++++++%3cColSpan%3e2%3c%2fColSpan%3e%0d%0a++++++++++++++++%3cFormat%3e%23%2c%23%230%3c%2fFormat%3e%0d%0a++++++++++++++++%3cWidth%3e49.5%3c%2fWidth%3e%0d%0a++++++++++++++++%3cText+%2f%3e%0d%0a++++++++++++++++%3cHeight%3e15.75%3c%2fHeight%3e%0d%0a++++++++++++++++%3cAlign%3eRight%3c%2fAlign%3e%0d%0a++++++++++++++++%3cVerticalAlign%3eCenter%3c%2fVerticalAlign%3e%0d%0a++++++++++++++++%3cCellHasFormula%3eTrue%3c%2fCellHasFormula%3e%0d%0a++++++++++++++++%3cFontName%3eArial%3c%2fFontName%3e%0d%0a++++++++++++++++%3cWrapText%3eFalse%3c%2fWrapText%3e%0d%0a++++++++++++++++%3cFontSize%3e9%3c%2fFontSize%3e%0d%0a++++++++++++++++%3cX%3e34%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1574%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</t>
  </si>
  <si>
    <t xml:space="preserve"> 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1475%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</t>
  </si>
  <si>
    <t xml:space="preserve"> 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1577%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56%3c%2fY%3e%0d%0a++++++++++++++++%3cImages+%2f%3e%0d%0a++++++++++++++++%3cFormControls+%2f%3e%0d%0a++++++++++++++++%3cGrid+%2f%3e%0d%0a++++++++++++++%3c%2fTD%3</t>
  </si>
  <si>
    <t xml:space="preserve"> 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56%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%3c%2fTRs%3e%0d%0a++++++++%3cPvtStyles+%2f%3e%0d%0a++++++++%3cSheetID%3e0%3c%2fSheetID%3e%0d%0a++++++%3c%2fTable%3e%0d%0a++++++%3cTable%3e%0d%0a++++++++%3cAddress%3e%3d'IRR'!%24A%241%3a%24AG%2430%3c%2fAddress%3e%0d%0a++++++++%3cName%3ePSWOutput_1%3c%2fName%3e%0d%0a++++++++%3cColumnWidths%3e24.75-24.75-24.75-24.75-24.75-24.75-27-24.75-24.75-24.75-24.75-24.75-24.75-24.75-24.75-24.75-24.75-24.75-24.75-24.75-24.75-24.75-24.75-24.75-24.75-24.75-24.75-24.75-24.75-24.75-24.75-24.75-24.75%3c%2fColumnWidths%3e%0d%0a++++++++%3cRowCount%3e30%3c%2fRowCount%3e%0d%0a++++++++%3cWidth%3e819%3c%2fWidth%3e%0d%0a++++++++%3cInputItemCount%3e0%3c%2fInputItemCount%3e%0d%0a++++++++%3cTRs%3e%0d%0a++++++++++%3cTR%3e%0d%0a++++++++++++%3cTDs%3e%0d%0a++++++++++++++%3cTD%3e%0d%0a++++++++++++++++%3cPSCFormated%3efalse%3c%2fPSCFormated%3e%0d%0a++++++++++++++++%3cStyle%3eClass1457%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</t>
  </si>
  <si>
    <t xml:space="preserve"> 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1579%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</t>
  </si>
  <si>
    <t xml:space="preserve"> 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1465%3c%2fStyle%3e%0d%0a++++++++++++++++%3cMerge%3eTrue%3c%2fMerge%3e%0d%0a++++++++++++++++%3cRowSpan+%2f%3e%0d%0a++++++++++++++++%3cColSpan%3e29%3c%2fColSpan%3e%0d%0a++++++++++++++++%3cFormat%3eGeneral%3c%2fFormat%3e%0d%0a++++++++++++++++%3cWidth%3e720%3c%2fWidth%3e%0d%0a++++++++++++++++%3cText%3eIRR+Analysis+of+Mutually+Independent+Projects%3c%2fText%3e%0d%0a++++++++++++++++%3cHeight%3e18.75%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14%3c%2fFontSize%3e%0d%0a++++++++++++++++%3cX%3e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</t>
  </si>
  <si>
    <t xml:space="preserve"> 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True%3c%2fMerge%3e%0d%0a++++++++++++++++%3cRowSpan+%2f%3e%0d%0a++++++++++++++++%3cColSpan%3e14%3c%2fColSpan%3e%0d%0a++++++++++++++++%3cFormat%3eGeneral%3c%2fFormat%3e%0d%0a++++++++++++++++%3cWidth%3e348.75%3c%2fWidth%3e%0d%0a++++++++++++++++%3cText%3eOptions+with+negative+NPV+are+eliminated+from+Incremental+IRR+Analysis.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5%3c%2fY%3e%0d%0a++++++++++++++++%3cImages+%2f%3e%0d%0a++++++++++++++++%3cFormControls+%2f%3e%0d%0a++++++++++++++++%3cGrid+%2f%3e%0d%0a++++++++++++++++%3cChart%3e%0d%0a++++++++++++++++++%3cNameIndex%3e0%3c%2fNameIndex%3e%0d%0a++++++++++++++++++%3cZOrder%3e1%3c%2fZOrder%3e%0d%0a++++++++++++++++++%3cChartType%3e-4111%3c%2fChartType%3e%0d%0a++++++++++++++++++%3cChartHeight%3e273%3c%2fChartHeight%3e%0d%0a++++++++++++++++++%3cChartWidth%3e347.25%3c%2fChartWidth%3e%0d%0a++++++++++++++++++%3cPlotHeight%3e251%3c%2fPlotHeight%3e%0d%0a++++++++++++++++++%3cPlotWidth%3e261.34%3c%2fPlotWidth%3e%0d%0a++++++++++++++++++%3cPlotTop%3e7%3c%2fPlotTop%3e%0d%0a++++++++++++++++++%3cPlotLeft%3e7%3c%2fPlotLeft%3e%0d%0a++++++++++++++++++%3cPlotColor%3e-1%3c%2fPlotColor%3e%0d%0a++++++++++++++++++%3cWallColor%3e-1%3c%2fWallColor%3e%0d%0a++++++++++++++++++%3cLegendBoxBackColor%3e-65537%3c%2fLegendBoxBackColor%3e%0d%0a++++++++++++++++++%3cLegendBoxTop%3e114.417086614173%3c%2fLegendBoxTop%3e%0d%0a++++++++++++++++++%3cLegendBoxLeft%3e279.34%3c%2fLegendBoxLeft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true%3c%2fYAxisHasMajorGrid%3e%0d%0a++++++++++++++++++%3cXAxisHasMinorGrid%3efalse%3c%2fXAxisHasMinorGrid%3e%0d%0a++++++++++++++++++%3cYAxisHasMinorGrid%3efalse%3c%2fYAxisHasMinorGrid%3e%0d%0a++++++++++++++++++%3cTop%3e0.15%3c%2fTop%3e%0d%0a++++++++++++++++++%3cLeft%3e0.0606060606060606%3c%2fLeft%3e%0d%0a++++++++++++++++++%3cTitle+%2f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Inc.IRR%3c%2fName%3e%0d%0a++++++++++++++++++++++%3cColor%3e-11566659%3c%2fColor%3e%0d%0a++++++++++++++++++++++%3cBorderColor%3e-65537%3c%2fBorderColor%3e%0d%0a++++++++++++++++++++%3c%2fSeries%3e%0d%0a++++++++++++++++++++%3cSeries%3e%0d%0a++++++++++++++++++++++%3cNameIndex%3e1%3c%2fNameIndex%3e%0d%0a++++++++++++++++++++++%3cName%3eMARR%3c%2fName%3e%0d%0a++++++++++++++++++++++%3cColor%3e-1%3c%2fColor%3e%0d%0a++++++++++++++++++++++%3cBorderColor%3e-4306104%3c%2fBorderColor%3e%0d%0a++++++++++++++++++++%3c%2fSeries%3e%0d%0a++++++++++++++++++%3c%2fSeriesCollection%3e%0d%0a++++++++++++++++++%3cLegendPosition+%2f%3e%0d%0a++++++++++++++++++%3cHasLegend%3etrue%3c%2fHasLegend%3e%0d%0a++++++++++++++++++%3cTopLeftRangeAddress%3e%3d'IRR'!%24R%245%3c%2fTopLeftRangeAddress%3e%0d%0a++++++++++++++++++%3cAbsoluteTop%3e67.5%3c%2fAbsoluteTop%3e%0d%0a++++++++++++++++++%3cAbsoluteLeft%3e424.5%3c%2fAbsoluteLeft%3e%0d%0a++++++++++++++++%3c%2fChart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</t>
  </si>
  <si>
    <t xml:space="preserve"> 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True%3c%2fMerge%3e%0d%0a++++++++++++++++%3cRowSpan+%2f%3e%0d%0a++++++++++++++++%3cColSpan%3e14%3c%2fColSpan%3e%0d%0a++++++++++++++++%3cFormat%3eGeneral%3c%2fFormat%3e%0d%0a++++++++++++++++%3cWidth%3e348.75%3c%2fWidth%3e%0d%0a++++++++++++++++%3cText%3eAlso+options+with+IRR+smaller+than+MARR+are+eliminated.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6%3c%2fY%3e%0d%0a++++++++++++++++%3cImages+%2f%3e%0d%0a+++</t>
  </si>
  <si>
    <t xml:space="preserve"> 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</t>
  </si>
  <si>
    <t xml:space="preserve"> 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True%3c%2fMerge%3e%0d%0a++++++++++++++++%3cRowSpan+%2f%3e%0d%0a++++++++++++++++%3cColSpan%3e7%3c%2fColSpan%3e%0d%0a++++++++++++++++%3cFormat%3eGeneral%3c%2fFormat%3e%0d%0a++++++++++++++++%3cWidth%3e175.5%3c%2fWidth%3e%0d%0a++++++++++++++++%3cText%3eMinimum+Acceptable+Rate+of+Return%3a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1514%3c%2fStyle%3e%0d%0a++++++++++++++++%3cMerge%3eTrue%3c%2fMerge%3e%0d%0a++++++++++++++++%3cRowSpan+%2f%3e%0d%0a++++++++++++++++%3cColSpan%3e2%3c%2fColSpan%3e%0d%0a++++++++++++++++%3cFormat%3e0.00%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9%3c%2fY%3e%0d%0a++++++++++++++++%3cImages+%2f%3e%0d%0a++++++++++++++++%3cFormControls+%2f%3e%0d%0a++++++++++++++++%3cGrid+%2f%3e%0d%0a++++++++++++++%3c%2fTD%3e%0d%0a++++++++++++++%3cTD%3e%0d%0a++++++++++++++++%3cPSCFormated%3efalse</t>
  </si>
  <si>
    <t xml:space="preserve"> 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9%3c%</t>
  </si>
  <si>
    <t xml:space="preserve"> 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True%3c%2fMerge%3e%0d%0a++++++++++++++++%3cRowSpan+%2f%3e%0d%0a++++++++++++++++%3cColSpan%3e14%3c%2fColSpan%3e%0d%0a++++++++++++++++%3cFormat%3eGeneral%3c%2fFormat%3e%0d%0a++++++++++++++++%3cWidth%3e348.75%3c%2fWidth%3e%0d%0a++++++++++++++++%3cText%3eOptions+to+be+investigated+and+their+Internal+Rates+of+Returns%3a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</t>
  </si>
  <si>
    <t xml:space="preserve"> 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1588%3c%2fStyle%3e%0d%0a++++++++++++++++%3cMerge%3eTrue%3c%2fMerge%3e%0d%0a++++++++++++++++%3cRowSpan+%2f%3e%0d%0a++++++++++++++++%3cColSpan%3e7%3c%2fColSpan%3e%0d%0a++++++++++++++++%3cFormat%3eGeneral%3c%2fFormat%3e%0d%0a++++++++++++++++%3cWidth%3e175.5%3c%2fWidth%3e%0d%0a++++++++++++++++%3cText%3e++++Option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1589%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IRR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</t>
  </si>
  <si>
    <t xml:space="preserve"> 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1590%3c%2fStyle%3e%0d%0a++++++++++++++++%3cMerge%3eTrue%3c%2fMerge%3e%0d%0a++++++++++++++++%3cRowSpan+%2f%3e%0d%0a++++++++++++++++%3cColSpan%3e6%3c%2fColSpan%3e%0d%0a++++++++++++++++%3cFormat%3eGeneral%3c%2fFormat%3e%0d%0a++++++++++++++++%3cWidth%3e150.75%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1591%3c%2fStyle%3e%0d%0a++++++++++++++++%3cMerge%3eTrue%3c%2fMerge%3e%0d%0a++++++++++++++++%3cRowSpan+%2f%3e%0d%0a++++++++++++++++%3cColSpan%3e2%3c%2fColSpan%3e%0d%0a++++++++++++++++%3cFormat%3e0.00%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</t>
  </si>
  <si>
    <t xml:space="preserve"> 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1590%3c%2fStyle%3e%0d%0a++++++++++++++++%3cMerge%3eTrue%3c%2fMerge%3e%0d%0a++++++++++++++++%3cRowSpan+%2f%3e%0d%0a++++++++++++++++%3cColSpan%3e6%3c%2fColSpan%3e%0d%0a++++++++++++++++%3cFormat%3eGeneral%3c%2fFormat%3e%0d%0a++++++++++++++++%3cWidth%3e150.75%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1591%3c%2fStyle%3e%0d%0a++++++++++++++++%3cMerge%3eTrue%3c%2fMerge%3e%0d%0a++++++++++++++++%3cRowSpan+%2f%3e%0d%0a++++++++++++++++%3cColSpan%3e2%3c%2fColSpan%3e%0d%0a++++++++++++++++%3cFormat%3e0.00%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14%3c%2fY%3e%0d%0a++++++++++++++++%3cImages+%2f%3e%0d%0a++++++++++++++++%3cFormControls+%2f%3e%0d%0a++++++++++++++++%3cGrid+%2f%3e%0d%0a++++++++++++++%3c%2fTD%3e%0d%0a++++++++++++++%3cTD%3e%0d%0a++++++++++++++++%3cPS</t>
  </si>
  <si>
    <t xml:space="preserve"> 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1590%3c%2fStyle%3e%0d%0a++++++++++++++++%3cMerge%3eTrue%3c%2fMerge%3e%0d%0a++++++++++++++++%3cRowSpan+%2f%3e%0d%0a++++++++++++++++%3cColSpan%3e6%3c%2fColSpan%3e%0d%0a++++++++++++++++%3cFormat%3eGeneral%3c%2fFormat%3e%0d%0a++++++++++++++++%3cWidth%3e150.75%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1591%3c%2fStyle%3e%0d%0a++++++++++++++++%3cMerge%3eTrue%3c%2fMerge%3e%0d%0a++++++++++++++++%3cRowSpan+%2f%3e%0d%0a++++++++++++++++%3cColSpan%3e2%3c%2fColSpan%3e%0d%0a++++++++++++++++%3cFormat%3e0.00%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</t>
  </si>
  <si>
    <t xml:space="preserve"> fFontName%3e%0d%0a++++++++++++++++%3cWrapText%3eFalse%3c%2fWrapText%3e%0d%0a++++++++++++++++%3cFontSize%3e11%3c%2fFontSize%3e%0d%0a++++++++++++++++%3cX%3e25%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1590%3c%2fStyle%3e%0d%0a++++++++++++++++%3cMerge%3eTrue%3c%2fMerge%3e%0d%0a++++++++++++++++%3cRowSpan+%2f%3e%0d%0a++++++++++++++++%3cColSpan%3e6%3c%2fColSpan%3e%0d%0a++++++++++++++++%3cFormat%3eGeneral%3c%2fFormat%3e%0d%0a++++++++++++++++%3cWidth%3e150.75%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1591%3c%2fStyle%3e%0d%0a++++++++++++++++%3cMerge%3eTrue%3c%2fMerge%3e%0d%0a++++++++++++++++%3cRowSpan+%2f%3e%0d%0a++++++++++++++++%3cColSpan%3e2%3c%2fColSpan%3e%0d%0a++++++++++++++++%3cFormat%3e0.00%25%3c%2fFormat%3e%0d%0a++++++++++++++++%3cWidth%3e49.5%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</t>
  </si>
  <si>
    <t xml:space="preserve"> 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1593%3c%2fStyle%3e%0d%0a++++++++++++++++%3cMerge%3eTrue%3c%2fMerge%3e%0d%0a++++++++++++++++%3cRowSpan+%2f%3e%0d%0a++++++++++++++++%3cColSpan%3e6%3c%2fColSpan%3e%0d%0a++++++++++++++++%3cFormat%3eGeneral%3c%2fFormat%3e%0d%0a++++++++++++++++%3cWidth%3e150.75%3c%2fWidth%3e%0d%0a++++++++++++++++%3cText+%2f%3e%0d%0a++++++++++++++++%3cHeight%3e15.75%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1594%3c%2fStyle%3e%0d%0a++++++++++++++++%3cMerge%3eTrue%3c%2fMerge%3e%0d%0a++++++++++++++++%3cRowSpan+%2f%3e%0d%0a++++++++++++++++%3cColSpan%3e2%3c%2fColSpan%3e%0d%0a++++++++++++++++%3cFormat%3e0.00%25%3c%2fFormat%3e%0d%0a++++++++++++++++%3cWidth%3e49.5%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10%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</t>
  </si>
  <si>
    <t xml:space="preserve"> 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</t>
  </si>
  <si>
    <t xml:space="preserve"> 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1595%3c%2fStyle%3e%0d%0a++++++++++++++++%3cMerge%3eTrue%3c%2fMerge%3e%0d%0a++++++++++++++++%3cRowSpan+%2f%3e%0d%0a++++++++++++++++%3cColSpan%3e9%3c%2fColSpan%3e%0d%0a++++++++++++++++%3cFormat%3eGeneral%3c%2fFormat%3e%0d%0a++++++++++++++++%3cWidth%3e225%3c%2fWidth%3e%0d%0a++++++++++++++++%3cText%3eIncremental+IRR+Calculations%3a%3c%2fText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20%3c%2fY%3e%0d%0a++++++++++++++++%3cImages+%2f%3e%0d%0a+++++++++++</t>
  </si>
  <si>
    <t xml:space="preserve"> +++++%3cFormControls+%2f%3e%0d%0a++++++++++++++++%3cGrid+%2f%3e%0d%0a++++++++++++++%3c%2fTD%3e%0d%0a++++++++++++++%3cTD%3e%0d%0a++++++++++++++++%3cPSCFormated%3efalse%3c%2fPSCFormated%3e%0d%0a++++++++++++++++%3cStyle%3eClass1517%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1596%3c%2fStyle%3e%0d%0a++++++++++++++++%3cMerge%3eTrue%3c%2fMerge%3e%0d%0a++++++++++++++++%3cRowSpan+%2f%3e%0d%0a++++++++++++++++%3cColSpan%3e3%3c%2fColSpan%3e%0d%0a++++++++++++++++%3cFormat%3eGeneral%3c%2fFormat%3e%0d%0a++++++++++++++++%3cWidth%3e76.5%3c%2fWidth%3e%0d%0a++++++++++++++++%3cText%3eInc.+IRR%3c%2fText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1597%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%3eCurrent+Best%3c%2fText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1598%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1599%3c%2fStyle%3e%0d%0a++++++++++++++++%3cMerge%3eTrue%3c%2fMerge%3e%0d%0a++++++++++++++++%3cRowSpan+%2f%3e%0d%0a++++++++++++++++%3cColSpan%3e3%3c%2fColSpan%3e%0d%0a++++++++++++++++%3cFormat%3e0.00%25%3c%2fFormat%3e%0d%0a++++++++++++++++%3cWidth%3e76.5%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1599%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</t>
  </si>
  <si>
    <t xml:space="preserve"> 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1492%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0.00%25%3c%2fFormat%3e%0d%0a++++++++++++++++%3cWidth%3e76.5%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22%3c%2fY%3e%0d%0a++++++++++++++++%3cImages+%2f%3e%0d%0a++++++++++++++++%3cFormControls+%2f%3e%0d%0a++++++++++++++++%3cGrid+%2f%3e%0d%0a+</t>
  </si>
  <si>
    <t xml:space="preserve"> 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1492%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0.00%25%3c%2fFormat%3e%0d%0a++++++++++++++++%3cWidth%3e76.5%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</t>
  </si>
  <si>
    <t xml:space="preserve"> 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1492%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0.00%25%3c%2fFormat%3e%0d%0a++++++++++++++++%3cWidth%3e76.5%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1495%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</t>
  </si>
  <si>
    <t xml:space="preserve"> 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1600%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1601%3c%2fStyle%3e%0d%0a++++++++++++++++%3cMerge%3eTrue%3c%2fMerge%3e%0d%0a++++++++++++++++%3cRowSpan+%2f%3e%0d%0a++++++++++++++++%3cColSpan%3e3%3c%2fColSpan%3e%0d%0a++++++++++++++++%3cFormat%3e0.00%25%3c%2fFormat%3e%0d%0a++++++++++++++++%3cWidth%3e76.5%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1601%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11%3c%2fFontSize%3e%0d%0a++++++++++++++++%3cX%3e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</t>
  </si>
  <si>
    <t xml:space="preserve"> %0d%0a++++++++++++++++%3cFontSize%3e11%3c%2fFontSize%3e%0d%0a++++++++++++++++%3cX%3e26%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</t>
  </si>
  <si>
    <t xml:space="preserve"> 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1515%3c%2fStyle%3e%0d%0a++++++++++++++++%3cMerge%3eTrue%3c%2fMerge%3e%0d%0a++++++++++++++++%3cRowSpan+%2f%3e%0d%0a++++++++++++++++%3cColSpan%3e16%3c%2fColSpan%3e%0d%0a++++++++++++++++%3cFormat%3eGeneral%3c%2fFormat%3e%0d%0a++++++++++++++++%3cWidth%3e398.25%3c%2fWidth%3e%0d%0a++++++++++++++++%3cText%3eIncremental+IRR+Analysis+of+the+Project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1467%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1516%3c%2fStyle%3e%0d%0a++++++++++++++++%3cMerge%3eTrue%3c%2fMerge%3e%0d%0a++++++++++++++++%3cRowSpan+%2f%3e%0d%0a++++++++++++++++%3cColSpan%3e16%3c%2fColSpan%3e%0d%0a++++++++++++++++%3cFormat%3eGeneral%3c%2fFormat%3e%0d%0a++++++++++++++++%3cWidth%3e398.25%3c%2fWidth%3e%0d%0a++++++++++++++++%3cText+%2f%3e%0d%0a++++++++++++++++%3cHeight%3e15.75%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12%3c%2fFontSize%3e%0d%0a++++++++++++++++%3cX%3e3%3c%2fX%3e%0d%0a++++++++++++++++%3cY%3e2</t>
  </si>
  <si>
    <t xml:space="preserve"> 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19%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1603%3c%2fStyle%3e%0d%0a++++++++++++++++%3cMerge%3eTrue%3c%2fMerge%3e%0d%0a++++++++++++++++%3cRowSpan+%2f%3e%0d%0a++++++++++++++++%3cColSpan%3e3%3c%2fColSpan%3e%0d%0a++++++++++++++++%3cFormat%3eGeneral%3c%2fFormat%3e%0d%0a++++++++++++++++%3cWidth%3e74.25%3c%2fWidth%3e%0d%0a++++++++++++++++%3cText+%2f%3e%0d%0a++++++++++++++++%3cHeight%3e15.75%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29%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30%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12%3c%2fFontSize%3e%0d%0a++++++++++++++++%3cX%3e31%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1580%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</t>
  </si>
  <si>
    <t xml:space="preserve"> 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1606%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1584%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27%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30%3c%2fY%3e%0d%0a++++++++++++++++%3cImages+%2f%3e%0d%0a++++++++++++++++%3cFormControls+%2f%3e%0d%0a+++++++++++++++</t>
  </si>
  <si>
    <t xml:space="preserve"> 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1608%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1607%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30%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%3c%2fTRs%3e%0d%0a++++++++%3cPvtStyles+%2f%3e%0d%0a++++++++%3cSheetID%3e0%3c%2fSheetID%3e%0d%0a++++++%3c%2fTable%3e%0d%0a++++%3c%2fTableCollection%3e%0d%0a++%3c%2fTables%3e%0d%0a++%3cVersion%3e2.1.0.0%3c%2fVersion%3e%0d%0a%3c%2fWizardSettings%3e</t>
  </si>
  <si>
    <t>&gt;&gt;</t>
  </si>
  <si>
    <t>1)</t>
  </si>
  <si>
    <t>Visit the site below:</t>
  </si>
  <si>
    <t>http://www.spreadsheetweb.com/getting_started.htm</t>
  </si>
  <si>
    <t>2)</t>
  </si>
  <si>
    <t>https://www4.spreadsheetweb.com/SpreadsheetWEB//</t>
  </si>
  <si>
    <t>Login to page with your new account information.</t>
  </si>
  <si>
    <t>3)</t>
  </si>
  <si>
    <t>In order to see more online applications created with PSW you can check the link below:</t>
  </si>
  <si>
    <t>http://www.spreadsheetweb.com/demos.htm</t>
  </si>
  <si>
    <t>Copyright (c) 2009 Pagos, Inc. http://www.pagos.com/</t>
  </si>
  <si>
    <t>Follow the steps to enable your online Capital Budgeting file.</t>
  </si>
  <si>
    <t>Your Capital Budgeting file is ready to use. Following steps are for online use.</t>
  </si>
  <si>
    <t>You will only need the username and password to create your online Capital Budgeting file.</t>
  </si>
  <si>
    <t>Click "Add Web Application" to upload this file. Your online Capital Budgeting file will be created automatically.</t>
  </si>
  <si>
    <t>You can simply use the Capital Budgeting file from that link or place it on your website.</t>
  </si>
  <si>
    <t>Your online Capital Budgeting file will look like:</t>
  </si>
  <si>
    <t>http://www1.spreadsheetweb.com/SpreadSheetWEB/Output.aspx?ApplicationId=bd5f67ae-3eee-41b5-ae9d-b2b61e637fd9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</si>
</sst>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Arial Tur"/>
      <charset val="162"/>
    </font>
    <font>
      <b/>
      <sz val="10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4" tint="-0.249977111117893"/>
      <name val="Calibri"/>
      <family val="2"/>
      <charset val="162"/>
      <scheme val="minor"/>
    </font>
    <font>
      <b/>
      <sz val="12"/>
      <color theme="4" tint="-0.249977111117893"/>
      <name val="Calibri"/>
      <family val="2"/>
      <charset val="162"/>
      <scheme val="minor"/>
    </font>
    <font>
      <b/>
      <sz val="14"/>
      <color theme="4" tint="-0.249977111117893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AFBF7"/>
        <bgColor indexed="64"/>
      </patternFill>
    </fill>
    <fill>
      <patternFill patternType="solid">
        <fgColor rgb="FFE7E4D5"/>
        <bgColor indexed="64"/>
      </patternFill>
    </fill>
    <fill>
      <patternFill patternType="solid">
        <fgColor rgb="FFDFDBC7"/>
        <bgColor indexed="64"/>
      </patternFill>
    </fill>
    <fill>
      <patternFill patternType="solid">
        <fgColor rgb="FFD8D3BA"/>
        <bgColor indexed="64"/>
      </patternFill>
    </fill>
    <fill>
      <patternFill patternType="solid">
        <fgColor rgb="FFD0CAA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/>
    <xf numFmtId="0" fontId="6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5" xfId="0" applyFill="1" applyBorder="1"/>
    <xf numFmtId="0" fontId="0" fillId="5" borderId="0" xfId="0" applyFill="1" applyBorder="1"/>
    <xf numFmtId="0" fontId="0" fillId="5" borderId="42" xfId="0" applyFill="1" applyBorder="1"/>
    <xf numFmtId="0" fontId="0" fillId="5" borderId="36" xfId="0" applyFill="1" applyBorder="1"/>
    <xf numFmtId="0" fontId="0" fillId="5" borderId="37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0" xfId="0" applyFill="1" applyBorder="1" applyAlignment="1">
      <alignment vertical="center"/>
    </xf>
    <xf numFmtId="0" fontId="0" fillId="5" borderId="42" xfId="0" applyFill="1" applyBorder="1" applyAlignment="1">
      <alignment vertical="center"/>
    </xf>
    <xf numFmtId="10" fontId="0" fillId="5" borderId="0" xfId="0" applyNumberFormat="1" applyFill="1" applyBorder="1"/>
    <xf numFmtId="9" fontId="0" fillId="5" borderId="0" xfId="0" applyNumberFormat="1" applyFill="1" applyBorder="1"/>
    <xf numFmtId="0" fontId="0" fillId="5" borderId="0" xfId="0" applyFill="1" applyBorder="1" applyAlignment="1">
      <alignment horizontal="center" vertical="center"/>
    </xf>
    <xf numFmtId="3" fontId="0" fillId="5" borderId="0" xfId="0" applyNumberFormat="1" applyFill="1" applyBorder="1"/>
    <xf numFmtId="0" fontId="5" fillId="5" borderId="0" xfId="0" applyFont="1" applyFill="1" applyBorder="1"/>
    <xf numFmtId="0" fontId="0" fillId="5" borderId="0" xfId="0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42" xfId="0" applyFont="1" applyFill="1" applyBorder="1"/>
    <xf numFmtId="0" fontId="4" fillId="5" borderId="0" xfId="0" applyFont="1" applyFill="1" applyBorder="1" applyAlignment="1">
      <alignment vertical="center"/>
    </xf>
    <xf numFmtId="0" fontId="4" fillId="5" borderId="42" xfId="0" applyFont="1" applyFill="1" applyBorder="1" applyAlignment="1">
      <alignment vertical="center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left" vertical="center"/>
    </xf>
    <xf numFmtId="10" fontId="0" fillId="5" borderId="20" xfId="0" applyNumberFormat="1" applyFill="1" applyBorder="1" applyAlignment="1">
      <alignment horizontal="center" vertical="center"/>
    </xf>
    <xf numFmtId="10" fontId="0" fillId="5" borderId="21" xfId="0" applyNumberForma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10" fontId="0" fillId="5" borderId="23" xfId="0" applyNumberFormat="1" applyFill="1" applyBorder="1" applyAlignment="1">
      <alignment horizontal="center" vertical="center"/>
    </xf>
    <xf numFmtId="10" fontId="0" fillId="5" borderId="24" xfId="0" applyNumberForma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10" fontId="0" fillId="5" borderId="28" xfId="0" applyNumberForma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10" fontId="0" fillId="5" borderId="31" xfId="0" applyNumberForma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0" fontId="0" fillId="5" borderId="34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7" borderId="45" xfId="0" applyFill="1" applyBorder="1"/>
    <xf numFmtId="0" fontId="0" fillId="7" borderId="46" xfId="0" applyFill="1" applyBorder="1"/>
    <xf numFmtId="0" fontId="0" fillId="7" borderId="47" xfId="0" applyFill="1" applyBorder="1"/>
    <xf numFmtId="0" fontId="0" fillId="7" borderId="48" xfId="0" applyFill="1" applyBorder="1"/>
    <xf numFmtId="0" fontId="12" fillId="7" borderId="0" xfId="0" applyFont="1" applyFill="1" applyBorder="1" applyAlignment="1">
      <alignment horizontal="center" vertical="center"/>
    </xf>
    <xf numFmtId="0" fontId="0" fillId="7" borderId="49" xfId="0" applyFill="1" applyBorder="1"/>
    <xf numFmtId="0" fontId="0" fillId="7" borderId="0" xfId="0" applyFill="1" applyBorder="1" applyAlignment="1">
      <alignment vertical="center"/>
    </xf>
    <xf numFmtId="0" fontId="0" fillId="7" borderId="0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10" fontId="0" fillId="7" borderId="0" xfId="0" applyNumberFormat="1" applyFill="1" applyBorder="1" applyAlignment="1">
      <alignment horizontal="center" vertical="center"/>
    </xf>
    <xf numFmtId="0" fontId="0" fillId="7" borderId="50" xfId="0" applyFill="1" applyBorder="1"/>
    <xf numFmtId="0" fontId="11" fillId="7" borderId="0" xfId="0" applyFont="1" applyFill="1" applyBorder="1" applyAlignment="1">
      <alignment horizontal="left" vertical="center"/>
    </xf>
    <xf numFmtId="0" fontId="0" fillId="7" borderId="51" xfId="0" applyFill="1" applyBorder="1" applyAlignment="1">
      <alignment vertical="center"/>
    </xf>
    <xf numFmtId="0" fontId="0" fillId="7" borderId="52" xfId="0" applyFill="1" applyBorder="1"/>
    <xf numFmtId="0" fontId="10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2" fillId="7" borderId="42" xfId="0" applyFont="1" applyFill="1" applyBorder="1" applyAlignment="1">
      <alignment horizontal="center" vertical="center"/>
    </xf>
    <xf numFmtId="0" fontId="0" fillId="7" borderId="42" xfId="0" applyFill="1" applyBorder="1" applyAlignment="1">
      <alignment vertical="center"/>
    </xf>
    <xf numFmtId="0" fontId="0" fillId="7" borderId="15" xfId="0" applyFill="1" applyBorder="1"/>
    <xf numFmtId="0" fontId="4" fillId="7" borderId="15" xfId="0" applyFont="1" applyFill="1" applyBorder="1"/>
    <xf numFmtId="0" fontId="4" fillId="7" borderId="15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0" fillId="7" borderId="0" xfId="0" applyFill="1" applyBorder="1"/>
    <xf numFmtId="0" fontId="0" fillId="7" borderId="42" xfId="0" applyFill="1" applyBorder="1"/>
    <xf numFmtId="0" fontId="0" fillId="7" borderId="0" xfId="0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left" vertical="center"/>
    </xf>
    <xf numFmtId="0" fontId="10" fillId="7" borderId="53" xfId="0" applyFont="1" applyFill="1" applyBorder="1" applyAlignment="1">
      <alignment horizontal="left" vertical="center"/>
    </xf>
    <xf numFmtId="0" fontId="11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54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Border="1"/>
    <xf numFmtId="0" fontId="11" fillId="7" borderId="1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vertical="center"/>
    </xf>
    <xf numFmtId="9" fontId="14" fillId="7" borderId="17" xfId="0" applyNumberFormat="1" applyFont="1" applyFill="1" applyBorder="1" applyAlignment="1">
      <alignment horizontal="center" vertical="center"/>
    </xf>
    <xf numFmtId="9" fontId="14" fillId="7" borderId="18" xfId="0" applyNumberFormat="1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9" fontId="14" fillId="7" borderId="20" xfId="0" applyNumberFormat="1" applyFont="1" applyFill="1" applyBorder="1" applyAlignment="1">
      <alignment horizontal="center" vertical="center"/>
    </xf>
    <xf numFmtId="9" fontId="14" fillId="7" borderId="21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9" fontId="14" fillId="7" borderId="23" xfId="0" applyNumberFormat="1" applyFont="1" applyFill="1" applyBorder="1" applyAlignment="1">
      <alignment horizontal="center" vertical="center"/>
    </xf>
    <xf numFmtId="9" fontId="14" fillId="7" borderId="24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right" wrapText="1"/>
    </xf>
    <xf numFmtId="0" fontId="7" fillId="5" borderId="10" xfId="0" applyFont="1" applyFill="1" applyBorder="1" applyAlignment="1">
      <alignment horizontal="right" wrapText="1"/>
    </xf>
    <xf numFmtId="0" fontId="7" fillId="5" borderId="11" xfId="0" applyFont="1" applyFill="1" applyBorder="1" applyAlignment="1">
      <alignment horizontal="right" wrapText="1"/>
    </xf>
    <xf numFmtId="0" fontId="7" fillId="5" borderId="12" xfId="0" applyFont="1" applyFill="1" applyBorder="1" applyAlignment="1">
      <alignment horizontal="right" wrapText="1"/>
    </xf>
    <xf numFmtId="0" fontId="7" fillId="5" borderId="13" xfId="0" applyFont="1" applyFill="1" applyBorder="1" applyAlignment="1">
      <alignment horizontal="right" wrapText="1"/>
    </xf>
    <xf numFmtId="0" fontId="7" fillId="5" borderId="14" xfId="0" applyFont="1" applyFill="1" applyBorder="1" applyAlignment="1">
      <alignment horizontal="right" wrapText="1"/>
    </xf>
    <xf numFmtId="3" fontId="13" fillId="5" borderId="16" xfId="0" applyNumberFormat="1" applyFont="1" applyFill="1" applyBorder="1" applyAlignment="1">
      <alignment horizontal="right" vertical="center"/>
    </xf>
    <xf numFmtId="3" fontId="13" fillId="5" borderId="17" xfId="0" applyNumberFormat="1" applyFont="1" applyFill="1" applyBorder="1" applyAlignment="1">
      <alignment horizontal="right" vertical="center"/>
    </xf>
    <xf numFmtId="3" fontId="13" fillId="5" borderId="18" xfId="0" applyNumberFormat="1" applyFont="1" applyFill="1" applyBorder="1" applyAlignment="1">
      <alignment horizontal="right" vertical="center"/>
    </xf>
    <xf numFmtId="3" fontId="13" fillId="5" borderId="19" xfId="0" applyNumberFormat="1" applyFont="1" applyFill="1" applyBorder="1" applyAlignment="1">
      <alignment horizontal="right" vertical="center"/>
    </xf>
    <xf numFmtId="3" fontId="13" fillId="5" borderId="20" xfId="0" applyNumberFormat="1" applyFont="1" applyFill="1" applyBorder="1" applyAlignment="1">
      <alignment horizontal="right" vertical="center"/>
    </xf>
    <xf numFmtId="3" fontId="13" fillId="5" borderId="21" xfId="0" applyNumberFormat="1" applyFont="1" applyFill="1" applyBorder="1" applyAlignment="1">
      <alignment horizontal="right" vertical="center"/>
    </xf>
    <xf numFmtId="3" fontId="13" fillId="5" borderId="22" xfId="0" applyNumberFormat="1" applyFont="1" applyFill="1" applyBorder="1" applyAlignment="1">
      <alignment horizontal="right" vertical="center"/>
    </xf>
    <xf numFmtId="3" fontId="13" fillId="5" borderId="23" xfId="0" applyNumberFormat="1" applyFont="1" applyFill="1" applyBorder="1" applyAlignment="1">
      <alignment horizontal="right" vertical="center"/>
    </xf>
    <xf numFmtId="3" fontId="13" fillId="5" borderId="24" xfId="0" applyNumberFormat="1" applyFont="1" applyFill="1" applyBorder="1" applyAlignment="1">
      <alignment horizontal="righ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right" wrapText="1"/>
    </xf>
    <xf numFmtId="0" fontId="7" fillId="8" borderId="10" xfId="0" applyFont="1" applyFill="1" applyBorder="1" applyAlignment="1">
      <alignment horizontal="right" wrapText="1"/>
    </xf>
    <xf numFmtId="0" fontId="7" fillId="8" borderId="11" xfId="0" applyFont="1" applyFill="1" applyBorder="1" applyAlignment="1">
      <alignment horizontal="right" wrapText="1"/>
    </xf>
    <xf numFmtId="0" fontId="7" fillId="8" borderId="12" xfId="0" applyFont="1" applyFill="1" applyBorder="1" applyAlignment="1">
      <alignment horizontal="right" wrapText="1"/>
    </xf>
    <xf numFmtId="0" fontId="7" fillId="8" borderId="13" xfId="0" applyFont="1" applyFill="1" applyBorder="1" applyAlignment="1">
      <alignment horizontal="right" wrapText="1"/>
    </xf>
    <xf numFmtId="0" fontId="7" fillId="8" borderId="14" xfId="0" applyFont="1" applyFill="1" applyBorder="1" applyAlignment="1">
      <alignment horizontal="right" wrapText="1"/>
    </xf>
    <xf numFmtId="3" fontId="13" fillId="8" borderId="16" xfId="0" applyNumberFormat="1" applyFont="1" applyFill="1" applyBorder="1" applyAlignment="1">
      <alignment horizontal="right" vertical="center"/>
    </xf>
    <xf numFmtId="3" fontId="13" fillId="8" borderId="17" xfId="0" applyNumberFormat="1" applyFont="1" applyFill="1" applyBorder="1" applyAlignment="1">
      <alignment horizontal="right" vertical="center"/>
    </xf>
    <xf numFmtId="3" fontId="13" fillId="8" borderId="18" xfId="0" applyNumberFormat="1" applyFont="1" applyFill="1" applyBorder="1" applyAlignment="1">
      <alignment horizontal="right" vertical="center"/>
    </xf>
    <xf numFmtId="3" fontId="13" fillId="8" borderId="19" xfId="0" applyNumberFormat="1" applyFont="1" applyFill="1" applyBorder="1" applyAlignment="1">
      <alignment horizontal="right" vertical="center"/>
    </xf>
    <xf numFmtId="3" fontId="13" fillId="8" borderId="20" xfId="0" applyNumberFormat="1" applyFont="1" applyFill="1" applyBorder="1" applyAlignment="1">
      <alignment horizontal="right" vertical="center"/>
    </xf>
    <xf numFmtId="3" fontId="13" fillId="8" borderId="21" xfId="0" applyNumberFormat="1" applyFont="1" applyFill="1" applyBorder="1" applyAlignment="1">
      <alignment horizontal="right" vertical="center"/>
    </xf>
    <xf numFmtId="3" fontId="13" fillId="8" borderId="22" xfId="0" applyNumberFormat="1" applyFont="1" applyFill="1" applyBorder="1" applyAlignment="1">
      <alignment horizontal="right" vertical="center"/>
    </xf>
    <xf numFmtId="3" fontId="13" fillId="8" borderId="23" xfId="0" applyNumberFormat="1" applyFont="1" applyFill="1" applyBorder="1" applyAlignment="1">
      <alignment horizontal="right" vertical="center"/>
    </xf>
    <xf numFmtId="3" fontId="13" fillId="8" borderId="24" xfId="0" applyNumberFormat="1" applyFont="1" applyFill="1" applyBorder="1" applyAlignment="1">
      <alignment horizontal="right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right" wrapText="1"/>
    </xf>
    <xf numFmtId="0" fontId="7" fillId="9" borderId="10" xfId="0" applyFont="1" applyFill="1" applyBorder="1" applyAlignment="1">
      <alignment horizontal="right" wrapText="1"/>
    </xf>
    <xf numFmtId="0" fontId="7" fillId="9" borderId="11" xfId="0" applyFont="1" applyFill="1" applyBorder="1" applyAlignment="1">
      <alignment horizontal="right" wrapText="1"/>
    </xf>
    <xf numFmtId="0" fontId="7" fillId="9" borderId="12" xfId="0" applyFont="1" applyFill="1" applyBorder="1" applyAlignment="1">
      <alignment horizontal="right" wrapText="1"/>
    </xf>
    <xf numFmtId="0" fontId="7" fillId="9" borderId="13" xfId="0" applyFont="1" applyFill="1" applyBorder="1" applyAlignment="1">
      <alignment horizontal="right" wrapText="1"/>
    </xf>
    <xf numFmtId="0" fontId="7" fillId="9" borderId="14" xfId="0" applyFont="1" applyFill="1" applyBorder="1" applyAlignment="1">
      <alignment horizontal="right" wrapText="1"/>
    </xf>
    <xf numFmtId="3" fontId="13" fillId="9" borderId="16" xfId="0" applyNumberFormat="1" applyFont="1" applyFill="1" applyBorder="1" applyAlignment="1">
      <alignment horizontal="right" vertical="center"/>
    </xf>
    <xf numFmtId="3" fontId="13" fillId="9" borderId="17" xfId="0" applyNumberFormat="1" applyFont="1" applyFill="1" applyBorder="1" applyAlignment="1">
      <alignment horizontal="right" vertical="center"/>
    </xf>
    <xf numFmtId="3" fontId="13" fillId="9" borderId="18" xfId="0" applyNumberFormat="1" applyFont="1" applyFill="1" applyBorder="1" applyAlignment="1">
      <alignment horizontal="right" vertical="center"/>
    </xf>
    <xf numFmtId="3" fontId="13" fillId="9" borderId="19" xfId="0" applyNumberFormat="1" applyFont="1" applyFill="1" applyBorder="1" applyAlignment="1">
      <alignment horizontal="right" vertical="center"/>
    </xf>
    <xf numFmtId="3" fontId="13" fillId="9" borderId="20" xfId="0" applyNumberFormat="1" applyFont="1" applyFill="1" applyBorder="1" applyAlignment="1">
      <alignment horizontal="right" vertical="center"/>
    </xf>
    <xf numFmtId="3" fontId="13" fillId="9" borderId="21" xfId="0" applyNumberFormat="1" applyFont="1" applyFill="1" applyBorder="1" applyAlignment="1">
      <alignment horizontal="right" vertical="center"/>
    </xf>
    <xf numFmtId="3" fontId="13" fillId="9" borderId="22" xfId="0" applyNumberFormat="1" applyFont="1" applyFill="1" applyBorder="1" applyAlignment="1">
      <alignment horizontal="right" vertical="center"/>
    </xf>
    <xf numFmtId="3" fontId="13" fillId="9" borderId="23" xfId="0" applyNumberFormat="1" applyFont="1" applyFill="1" applyBorder="1" applyAlignment="1">
      <alignment horizontal="right" vertical="center"/>
    </xf>
    <xf numFmtId="3" fontId="13" fillId="9" borderId="24" xfId="0" applyNumberFormat="1" applyFont="1" applyFill="1" applyBorder="1" applyAlignment="1">
      <alignment horizontal="right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right" wrapText="1"/>
    </xf>
    <xf numFmtId="0" fontId="7" fillId="10" borderId="10" xfId="0" applyFont="1" applyFill="1" applyBorder="1" applyAlignment="1">
      <alignment horizontal="right" wrapText="1"/>
    </xf>
    <xf numFmtId="0" fontId="7" fillId="10" borderId="11" xfId="0" applyFont="1" applyFill="1" applyBorder="1" applyAlignment="1">
      <alignment horizontal="right" wrapText="1"/>
    </xf>
    <xf numFmtId="0" fontId="7" fillId="10" borderId="12" xfId="0" applyFont="1" applyFill="1" applyBorder="1" applyAlignment="1">
      <alignment horizontal="right" wrapText="1"/>
    </xf>
    <xf numFmtId="0" fontId="7" fillId="10" borderId="13" xfId="0" applyFont="1" applyFill="1" applyBorder="1" applyAlignment="1">
      <alignment horizontal="right" wrapText="1"/>
    </xf>
    <xf numFmtId="0" fontId="7" fillId="10" borderId="14" xfId="0" applyFont="1" applyFill="1" applyBorder="1" applyAlignment="1">
      <alignment horizontal="right" wrapText="1"/>
    </xf>
    <xf numFmtId="3" fontId="13" fillId="10" borderId="16" xfId="0" applyNumberFormat="1" applyFont="1" applyFill="1" applyBorder="1" applyAlignment="1">
      <alignment horizontal="right" vertical="center"/>
    </xf>
    <xf numFmtId="3" fontId="13" fillId="10" borderId="17" xfId="0" applyNumberFormat="1" applyFont="1" applyFill="1" applyBorder="1" applyAlignment="1">
      <alignment horizontal="right" vertical="center"/>
    </xf>
    <xf numFmtId="3" fontId="13" fillId="10" borderId="18" xfId="0" applyNumberFormat="1" applyFont="1" applyFill="1" applyBorder="1" applyAlignment="1">
      <alignment horizontal="right" vertical="center"/>
    </xf>
    <xf numFmtId="3" fontId="13" fillId="10" borderId="19" xfId="0" applyNumberFormat="1" applyFont="1" applyFill="1" applyBorder="1" applyAlignment="1">
      <alignment horizontal="right" vertical="center"/>
    </xf>
    <xf numFmtId="3" fontId="13" fillId="10" borderId="20" xfId="0" applyNumberFormat="1" applyFont="1" applyFill="1" applyBorder="1" applyAlignment="1">
      <alignment horizontal="right" vertical="center"/>
    </xf>
    <xf numFmtId="3" fontId="13" fillId="10" borderId="21" xfId="0" applyNumberFormat="1" applyFont="1" applyFill="1" applyBorder="1" applyAlignment="1">
      <alignment horizontal="right" vertical="center"/>
    </xf>
    <xf numFmtId="3" fontId="13" fillId="10" borderId="22" xfId="0" applyNumberFormat="1" applyFont="1" applyFill="1" applyBorder="1" applyAlignment="1">
      <alignment horizontal="right" vertical="center"/>
    </xf>
    <xf numFmtId="3" fontId="13" fillId="10" borderId="23" xfId="0" applyNumberFormat="1" applyFont="1" applyFill="1" applyBorder="1" applyAlignment="1">
      <alignment horizontal="right" vertical="center"/>
    </xf>
    <xf numFmtId="3" fontId="13" fillId="10" borderId="24" xfId="0" applyNumberFormat="1" applyFont="1" applyFill="1" applyBorder="1" applyAlignment="1">
      <alignment horizontal="right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right" wrapText="1"/>
    </xf>
    <xf numFmtId="0" fontId="7" fillId="11" borderId="10" xfId="0" applyFont="1" applyFill="1" applyBorder="1" applyAlignment="1">
      <alignment horizontal="right" wrapText="1"/>
    </xf>
    <xf numFmtId="0" fontId="7" fillId="11" borderId="11" xfId="0" applyFont="1" applyFill="1" applyBorder="1" applyAlignment="1">
      <alignment horizontal="right" wrapText="1"/>
    </xf>
    <xf numFmtId="0" fontId="7" fillId="11" borderId="12" xfId="0" applyFont="1" applyFill="1" applyBorder="1" applyAlignment="1">
      <alignment horizontal="right" wrapText="1"/>
    </xf>
    <xf numFmtId="0" fontId="7" fillId="11" borderId="13" xfId="0" applyFont="1" applyFill="1" applyBorder="1" applyAlignment="1">
      <alignment horizontal="right" wrapText="1"/>
    </xf>
    <xf numFmtId="0" fontId="7" fillId="11" borderId="14" xfId="0" applyFont="1" applyFill="1" applyBorder="1" applyAlignment="1">
      <alignment horizontal="right" wrapText="1"/>
    </xf>
    <xf numFmtId="3" fontId="13" fillId="11" borderId="16" xfId="0" applyNumberFormat="1" applyFont="1" applyFill="1" applyBorder="1" applyAlignment="1">
      <alignment horizontal="right" vertical="center"/>
    </xf>
    <xf numFmtId="3" fontId="13" fillId="11" borderId="17" xfId="0" applyNumberFormat="1" applyFont="1" applyFill="1" applyBorder="1" applyAlignment="1">
      <alignment horizontal="right" vertical="center"/>
    </xf>
    <xf numFmtId="3" fontId="13" fillId="11" borderId="18" xfId="0" applyNumberFormat="1" applyFont="1" applyFill="1" applyBorder="1" applyAlignment="1">
      <alignment horizontal="right" vertical="center"/>
    </xf>
    <xf numFmtId="3" fontId="13" fillId="11" borderId="19" xfId="0" applyNumberFormat="1" applyFont="1" applyFill="1" applyBorder="1" applyAlignment="1">
      <alignment horizontal="right" vertical="center"/>
    </xf>
    <xf numFmtId="3" fontId="13" fillId="11" borderId="20" xfId="0" applyNumberFormat="1" applyFont="1" applyFill="1" applyBorder="1" applyAlignment="1">
      <alignment horizontal="right" vertical="center"/>
    </xf>
    <xf numFmtId="3" fontId="13" fillId="11" borderId="21" xfId="0" applyNumberFormat="1" applyFont="1" applyFill="1" applyBorder="1" applyAlignment="1">
      <alignment horizontal="right" vertical="center"/>
    </xf>
    <xf numFmtId="3" fontId="13" fillId="11" borderId="22" xfId="0" applyNumberFormat="1" applyFont="1" applyFill="1" applyBorder="1" applyAlignment="1">
      <alignment horizontal="right" vertical="center"/>
    </xf>
    <xf numFmtId="3" fontId="13" fillId="11" borderId="23" xfId="0" applyNumberFormat="1" applyFont="1" applyFill="1" applyBorder="1" applyAlignment="1">
      <alignment horizontal="right" vertical="center"/>
    </xf>
    <xf numFmtId="3" fontId="13" fillId="11" borderId="24" xfId="0" applyNumberFormat="1" applyFont="1" applyFill="1" applyBorder="1" applyAlignment="1">
      <alignment horizontal="right" vertical="center"/>
    </xf>
    <xf numFmtId="0" fontId="0" fillId="11" borderId="33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3" fontId="0" fillId="11" borderId="34" xfId="0" applyNumberFormat="1" applyFill="1" applyBorder="1" applyAlignment="1">
      <alignment horizontal="center" vertical="center"/>
    </xf>
    <xf numFmtId="3" fontId="0" fillId="11" borderId="22" xfId="0" applyNumberFormat="1" applyFill="1" applyBorder="1" applyAlignment="1">
      <alignment horizontal="center" vertical="center"/>
    </xf>
    <xf numFmtId="3" fontId="0" fillId="11" borderId="23" xfId="0" applyNumberFormat="1" applyFill="1" applyBorder="1" applyAlignment="1">
      <alignment horizontal="center" vertical="center"/>
    </xf>
    <xf numFmtId="3" fontId="0" fillId="11" borderId="24" xfId="0" applyNumberFormat="1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3" fontId="0" fillId="10" borderId="31" xfId="0" applyNumberFormat="1" applyFill="1" applyBorder="1" applyAlignment="1">
      <alignment horizontal="center" vertical="center"/>
    </xf>
    <xf numFmtId="3" fontId="0" fillId="10" borderId="19" xfId="0" applyNumberFormat="1" applyFill="1" applyBorder="1" applyAlignment="1">
      <alignment horizontal="center" vertical="center"/>
    </xf>
    <xf numFmtId="3" fontId="0" fillId="10" borderId="20" xfId="0" applyNumberFormat="1" applyFill="1" applyBorder="1" applyAlignment="1">
      <alignment horizontal="center" vertical="center"/>
    </xf>
    <xf numFmtId="3" fontId="0" fillId="10" borderId="21" xfId="0" applyNumberFormat="1" applyFill="1" applyBorder="1" applyAlignment="1">
      <alignment horizontal="center" vertical="center"/>
    </xf>
    <xf numFmtId="3" fontId="0" fillId="9" borderId="19" xfId="0" applyNumberFormat="1" applyFill="1" applyBorder="1" applyAlignment="1">
      <alignment horizontal="center" vertical="center"/>
    </xf>
    <xf numFmtId="3" fontId="0" fillId="9" borderId="20" xfId="0" applyNumberFormat="1" applyFill="1" applyBorder="1" applyAlignment="1">
      <alignment horizontal="center" vertical="center"/>
    </xf>
    <xf numFmtId="3" fontId="0" fillId="9" borderId="21" xfId="0" applyNumberFormat="1" applyFill="1" applyBorder="1" applyAlignment="1">
      <alignment horizontal="center" vertical="center"/>
    </xf>
    <xf numFmtId="3" fontId="0" fillId="9" borderId="31" xfId="0" applyNumberFormat="1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3" fontId="0" fillId="8" borderId="31" xfId="0" applyNumberForma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0" fillId="8" borderId="20" xfId="0" applyNumberFormat="1" applyFill="1" applyBorder="1" applyAlignment="1">
      <alignment horizontal="center" vertical="center"/>
    </xf>
    <xf numFmtId="3" fontId="0" fillId="8" borderId="21" xfId="0" applyNumberFormat="1" applyFill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3" fontId="0" fillId="12" borderId="28" xfId="0" applyNumberFormat="1" applyFill="1" applyBorder="1" applyAlignment="1">
      <alignment horizontal="center" vertical="center"/>
    </xf>
    <xf numFmtId="3" fontId="0" fillId="12" borderId="16" xfId="0" applyNumberFormat="1" applyFill="1" applyBorder="1" applyAlignment="1">
      <alignment horizontal="center" vertical="center"/>
    </xf>
    <xf numFmtId="3" fontId="0" fillId="12" borderId="17" xfId="0" applyNumberFormat="1" applyFill="1" applyBorder="1" applyAlignment="1">
      <alignment horizontal="center" vertical="center"/>
    </xf>
    <xf numFmtId="3" fontId="0" fillId="12" borderId="18" xfId="0" applyNumberFormat="1" applyFill="1" applyBorder="1" applyAlignment="1">
      <alignment horizontal="center" vertic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13" borderId="46" xfId="0" applyFill="1" applyBorder="1" applyAlignment="1">
      <alignment horizontal="center"/>
    </xf>
    <xf numFmtId="0" fontId="0" fillId="13" borderId="47" xfId="0" applyFill="1" applyBorder="1" applyAlignment="1">
      <alignment horizontal="center"/>
    </xf>
    <xf numFmtId="0" fontId="0" fillId="13" borderId="48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49" xfId="0" applyFill="1" applyBorder="1" applyAlignment="1">
      <alignment horizontal="center"/>
    </xf>
    <xf numFmtId="0" fontId="0" fillId="13" borderId="50" xfId="0" applyFill="1" applyBorder="1" applyAlignment="1">
      <alignment horizontal="center"/>
    </xf>
    <xf numFmtId="0" fontId="0" fillId="13" borderId="51" xfId="0" applyFill="1" applyBorder="1" applyAlignment="1">
      <alignment horizontal="center"/>
    </xf>
    <xf numFmtId="0" fontId="0" fillId="13" borderId="52" xfId="0" applyFill="1" applyBorder="1" applyAlignment="1">
      <alignment horizontal="center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12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48" xfId="0" applyFont="1" applyFill="1" applyBorder="1" applyAlignment="1">
      <alignment horizontal="center"/>
    </xf>
    <xf numFmtId="0" fontId="0" fillId="7" borderId="13" xfId="0" applyFill="1" applyBorder="1"/>
    <xf numFmtId="0" fontId="0" fillId="7" borderId="14" xfId="0" applyFill="1" applyBorder="1"/>
    <xf numFmtId="0" fontId="5" fillId="7" borderId="0" xfId="0" applyFont="1" applyFill="1" applyBorder="1"/>
    <xf numFmtId="0" fontId="0" fillId="7" borderId="12" xfId="0" applyFill="1" applyBorder="1"/>
    <xf numFmtId="0" fontId="0" fillId="2" borderId="44" xfId="0" applyFill="1" applyBorder="1" applyAlignment="1">
      <alignment horizontal="center"/>
    </xf>
    <xf numFmtId="0" fontId="0" fillId="13" borderId="44" xfId="0" applyFill="1" applyBorder="1" applyAlignment="1">
      <alignment horizontal="center"/>
    </xf>
    <xf numFmtId="0" fontId="15" fillId="5" borderId="55" xfId="0" applyFont="1" applyFill="1" applyBorder="1" applyAlignment="1">
      <alignment vertical="center"/>
    </xf>
    <xf numFmtId="0" fontId="15" fillId="5" borderId="56" xfId="0" applyFont="1" applyFill="1" applyBorder="1" applyAlignment="1">
      <alignment vertical="center"/>
    </xf>
    <xf numFmtId="0" fontId="0" fillId="5" borderId="56" xfId="0" applyFill="1" applyBorder="1" applyAlignment="1">
      <alignment vertical="center"/>
    </xf>
    <xf numFmtId="0" fontId="0" fillId="5" borderId="5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5" borderId="58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left" vertical="center"/>
    </xf>
    <xf numFmtId="0" fontId="0" fillId="5" borderId="59" xfId="0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15" fillId="5" borderId="59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8" fillId="5" borderId="0" xfId="0" applyFont="1" applyFill="1" applyBorder="1" applyAlignment="1">
      <alignment vertical="center"/>
    </xf>
    <xf numFmtId="0" fontId="15" fillId="5" borderId="60" xfId="0" applyFont="1" applyFill="1" applyBorder="1" applyAlignment="1">
      <alignment vertical="center"/>
    </xf>
    <xf numFmtId="0" fontId="15" fillId="5" borderId="61" xfId="0" applyFont="1" applyFill="1" applyBorder="1" applyAlignment="1">
      <alignment vertical="center"/>
    </xf>
    <xf numFmtId="0" fontId="15" fillId="5" borderId="6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AFBF7"/>
      <color rgb="FFE7E4D5"/>
      <color rgb="FFDFDBC7"/>
      <color rgb="FFD8D3BA"/>
      <color rgb="FFD0CAAC"/>
      <color rgb="FFFBCDA7"/>
      <color rgb="FFFCD9BC"/>
      <color rgb="FFBFB3D1"/>
      <color rgb="FFD1C8DE"/>
      <color rgb="FF89B2E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NPV!$AP$21</c:f>
              <c:strCache>
                <c:ptCount val="1"/>
                <c:pt idx="0">
                  <c:v>NPV</c:v>
                </c:pt>
              </c:strCache>
            </c:strRef>
          </c:tx>
          <c:cat>
            <c:strRef>
              <c:f>NPV!$AO$22:$AO$26</c:f>
              <c:strCache>
                <c:ptCount val="5"/>
                <c:pt idx="0">
                  <c:v>Option 1</c:v>
                </c:pt>
                <c:pt idx="1">
                  <c:v>Option 2</c:v>
                </c:pt>
                <c:pt idx="2">
                  <c:v>Option 3</c:v>
                </c:pt>
                <c:pt idx="3">
                  <c:v>Option 4</c:v>
                </c:pt>
                <c:pt idx="4">
                  <c:v>Option 5</c:v>
                </c:pt>
              </c:strCache>
            </c:strRef>
          </c:cat>
          <c:val>
            <c:numRef>
              <c:f>NPV!$AP$22:$AP$26</c:f>
              <c:numCache>
                <c:formatCode>#,##0</c:formatCode>
                <c:ptCount val="5"/>
                <c:pt idx="0">
                  <c:v>160.28671562247939</c:v>
                </c:pt>
                <c:pt idx="1">
                  <c:v>343.06169707986061</c:v>
                </c:pt>
                <c:pt idx="2">
                  <c:v>276.55431687012708</c:v>
                </c:pt>
                <c:pt idx="3">
                  <c:v>-99.283210943801294</c:v>
                </c:pt>
                <c:pt idx="4">
                  <c:v>527.74981457381159</c:v>
                </c:pt>
              </c:numCache>
            </c:numRef>
          </c:val>
        </c:ser>
        <c:axId val="57323520"/>
        <c:axId val="57326976"/>
      </c:barChart>
      <c:catAx>
        <c:axId val="57323520"/>
        <c:scaling>
          <c:orientation val="minMax"/>
        </c:scaling>
        <c:axPos val="l"/>
        <c:tickLblPos val="nextTo"/>
        <c:crossAx val="57326976"/>
        <c:crosses val="autoZero"/>
        <c:auto val="1"/>
        <c:lblAlgn val="ctr"/>
        <c:lblOffset val="100"/>
      </c:catAx>
      <c:valAx>
        <c:axId val="57326976"/>
        <c:scaling>
          <c:orientation val="minMax"/>
        </c:scaling>
        <c:axPos val="b"/>
        <c:majorGridlines/>
        <c:numFmt formatCode="General" sourceLinked="0"/>
        <c:tickLblPos val="nextTo"/>
        <c:crossAx val="57323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NPV!$BY$21</c:f>
              <c:strCache>
                <c:ptCount val="1"/>
                <c:pt idx="0">
                  <c:v>Inc.IRR</c:v>
                </c:pt>
              </c:strCache>
            </c:strRef>
          </c:tx>
          <c:cat>
            <c:strRef>
              <c:f>NPV!$BX$22:$BX$26</c:f>
              <c:strCache>
                <c:ptCount val="4"/>
                <c:pt idx="0">
                  <c:v>Opt1</c:v>
                </c:pt>
                <c:pt idx="1">
                  <c:v>Opt(2-1)</c:v>
                </c:pt>
                <c:pt idx="2">
                  <c:v>Opt(3-2)</c:v>
                </c:pt>
                <c:pt idx="3">
                  <c:v>Opt(5-2)</c:v>
                </c:pt>
              </c:strCache>
            </c:strRef>
          </c:cat>
          <c:val>
            <c:numRef>
              <c:f>NPV!$BY$22:$BY$26</c:f>
              <c:numCache>
                <c:formatCode>0.00%</c:formatCode>
                <c:ptCount val="5"/>
                <c:pt idx="0">
                  <c:v>0.13704474216576293</c:v>
                </c:pt>
                <c:pt idx="1">
                  <c:v>0.31309821517971198</c:v>
                </c:pt>
                <c:pt idx="2">
                  <c:v>0</c:v>
                </c:pt>
                <c:pt idx="3">
                  <c:v>0.12394137171157951</c:v>
                </c:pt>
                <c:pt idx="4">
                  <c:v>0</c:v>
                </c:pt>
              </c:numCache>
            </c:numRef>
          </c:val>
        </c:ser>
        <c:axId val="165568512"/>
        <c:axId val="165570048"/>
      </c:barChart>
      <c:lineChart>
        <c:grouping val="standard"/>
        <c:ser>
          <c:idx val="1"/>
          <c:order val="1"/>
          <c:tx>
            <c:strRef>
              <c:f>NPV!$BZ$21</c:f>
              <c:strCache>
                <c:ptCount val="1"/>
                <c:pt idx="0">
                  <c:v>MARR</c:v>
                </c:pt>
              </c:strCache>
            </c:strRef>
          </c:tx>
          <c:marker>
            <c:symbol val="none"/>
          </c:marker>
          <c:cat>
            <c:strRef>
              <c:f>NPV!$BX$22:$BX$26</c:f>
              <c:strCache>
                <c:ptCount val="4"/>
                <c:pt idx="0">
                  <c:v>Opt1</c:v>
                </c:pt>
                <c:pt idx="1">
                  <c:v>Opt(2-1)</c:v>
                </c:pt>
                <c:pt idx="2">
                  <c:v>Opt(3-2)</c:v>
                </c:pt>
                <c:pt idx="3">
                  <c:v>Opt(5-2)</c:v>
                </c:pt>
              </c:strCache>
            </c:strRef>
          </c:cat>
          <c:val>
            <c:numRef>
              <c:f>NPV!$BZ$22:$BZ$26</c:f>
              <c:numCache>
                <c:formatCode>0.00%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</c:ser>
        <c:marker val="1"/>
        <c:axId val="165568512"/>
        <c:axId val="165570048"/>
      </c:lineChart>
      <c:catAx>
        <c:axId val="165568512"/>
        <c:scaling>
          <c:orientation val="minMax"/>
        </c:scaling>
        <c:axPos val="b"/>
        <c:tickLblPos val="nextTo"/>
        <c:crossAx val="165570048"/>
        <c:crosses val="autoZero"/>
        <c:auto val="1"/>
        <c:lblAlgn val="ctr"/>
        <c:lblOffset val="100"/>
      </c:catAx>
      <c:valAx>
        <c:axId val="165570048"/>
        <c:scaling>
          <c:orientation val="minMax"/>
        </c:scaling>
        <c:axPos val="l"/>
        <c:majorGridlines/>
        <c:numFmt formatCode="0.00%" sourceLinked="1"/>
        <c:tickLblPos val="nextTo"/>
        <c:crossAx val="1655685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4</xdr:row>
      <xdr:rowOff>152399</xdr:rowOff>
    </xdr:from>
    <xdr:to>
      <xdr:col>29</xdr:col>
      <xdr:colOff>38100</xdr:colOff>
      <xdr:row>13</xdr:row>
      <xdr:rowOff>161924</xdr:rowOff>
    </xdr:to>
    <xdr:graphicFrame macro="">
      <xdr:nvGraphicFramePr>
        <xdr:cNvPr id="6" name="5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4</xdr:row>
      <xdr:rowOff>28575</xdr:rowOff>
    </xdr:from>
    <xdr:to>
      <xdr:col>31</xdr:col>
      <xdr:colOff>28575</xdr:colOff>
      <xdr:row>22</xdr:row>
      <xdr:rowOff>28575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57"/>
  <sheetViews>
    <sheetView showGridLines="0" tabSelected="1" topLeftCell="A2" zoomScale="85" zoomScaleNormal="85" workbookViewId="0">
      <selection activeCell="C3" sqref="C3:AJ3"/>
    </sheetView>
  </sheetViews>
  <sheetFormatPr defaultRowHeight="15"/>
  <cols>
    <col min="1" max="36" width="4.7109375" customWidth="1"/>
    <col min="37" max="37" width="4.7109375" style="3" customWidth="1"/>
    <col min="38" max="40" width="4.7109375" customWidth="1"/>
    <col min="41" max="41" width="8.5703125" bestFit="1" customWidth="1"/>
    <col min="42" max="42" width="6.5703125" bestFit="1" customWidth="1"/>
    <col min="43" max="43" width="4.7109375" customWidth="1"/>
    <col min="44" max="44" width="6.5703125" bestFit="1" customWidth="1"/>
    <col min="45" max="45" width="11.28515625" bestFit="1" customWidth="1"/>
    <col min="46" max="47" width="4.7109375" customWidth="1"/>
    <col min="48" max="48" width="8.5703125" bestFit="1" customWidth="1"/>
    <col min="49" max="49" width="4.7109375" customWidth="1"/>
    <col min="50" max="50" width="7.42578125" bestFit="1" customWidth="1"/>
    <col min="51" max="51" width="3.85546875" bestFit="1" customWidth="1"/>
    <col min="52" max="52" width="3" bestFit="1" customWidth="1"/>
    <col min="53" max="55" width="12" style="3" bestFit="1" customWidth="1"/>
    <col min="56" max="56" width="7.42578125" style="3" bestFit="1" customWidth="1"/>
    <col min="57" max="57" width="12" style="3" bestFit="1" customWidth="1"/>
    <col min="58" max="59" width="12" bestFit="1" customWidth="1"/>
    <col min="60" max="60" width="8.28515625" bestFit="1" customWidth="1"/>
    <col min="61" max="61" width="10" bestFit="1" customWidth="1"/>
    <col min="62" max="62" width="7.140625" bestFit="1" customWidth="1"/>
    <col min="63" max="63" width="8.42578125" bestFit="1" customWidth="1"/>
    <col min="64" max="64" width="8.28515625" bestFit="1" customWidth="1"/>
    <col min="65" max="65" width="12" style="3" bestFit="1" customWidth="1"/>
    <col min="66" max="67" width="7.140625" bestFit="1" customWidth="1"/>
    <col min="68" max="68" width="8.42578125" style="3" bestFit="1" customWidth="1"/>
    <col min="69" max="69" width="12" style="3" bestFit="1" customWidth="1"/>
    <col min="70" max="70" width="7.140625" bestFit="1" customWidth="1"/>
    <col min="71" max="72" width="7.140625" style="3" bestFit="1" customWidth="1"/>
    <col min="73" max="73" width="7.42578125" bestFit="1" customWidth="1"/>
    <col min="74" max="74" width="4.7109375" customWidth="1"/>
    <col min="75" max="75" width="12.5703125" bestFit="1" customWidth="1"/>
    <col min="76" max="76" width="10.85546875" bestFit="1" customWidth="1"/>
    <col min="77" max="77" width="11.7109375" bestFit="1" customWidth="1"/>
    <col min="78" max="78" width="7.140625" bestFit="1" customWidth="1"/>
    <col min="79" max="79" width="4.7109375" customWidth="1"/>
    <col min="80" max="81" width="7.42578125" bestFit="1" customWidth="1"/>
  </cols>
  <sheetData>
    <row r="1" spans="1:83" s="3" customFormat="1" ht="15.75" thickBot="1"/>
    <row r="2" spans="1:83" ht="15.75" thickBot="1">
      <c r="A2" s="1"/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F2" s="3"/>
      <c r="BG2" s="3"/>
      <c r="BH2" s="3"/>
      <c r="BI2" s="3"/>
      <c r="BJ2" s="3"/>
      <c r="BK2" s="3"/>
      <c r="BL2" s="3"/>
      <c r="BN2" s="3"/>
      <c r="BO2" s="3"/>
      <c r="BR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8.75">
      <c r="A3" s="1"/>
      <c r="B3" s="94"/>
      <c r="C3" s="79" t="s">
        <v>54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95"/>
      <c r="AN3" s="3"/>
      <c r="AO3" s="21" t="s">
        <v>53</v>
      </c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3"/>
      <c r="CD3" s="3"/>
      <c r="CE3" s="3"/>
    </row>
    <row r="4" spans="1:83">
      <c r="A4" s="1"/>
      <c r="B4" s="94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96"/>
      <c r="AO4" s="24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6"/>
    </row>
    <row r="5" spans="1:83" ht="15.75" thickBot="1">
      <c r="A5" s="1"/>
      <c r="B5" s="94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96"/>
      <c r="AO5" s="24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 t="s">
        <v>38</v>
      </c>
      <c r="BB5" s="25">
        <f>DCOUNT(AZ13:AZ18,"a",BF5:BF6)</f>
        <v>4</v>
      </c>
      <c r="BC5" s="25"/>
      <c r="BD5" s="25"/>
      <c r="BE5" s="25"/>
      <c r="BF5" s="25" t="s">
        <v>37</v>
      </c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6"/>
    </row>
    <row r="6" spans="1:83" ht="15.75" thickBot="1">
      <c r="A6" s="1"/>
      <c r="B6" s="94"/>
      <c r="C6" s="8" t="s">
        <v>15</v>
      </c>
      <c r="D6" s="9"/>
      <c r="E6" s="9"/>
      <c r="F6" s="9"/>
      <c r="G6" s="9"/>
      <c r="H6" s="9"/>
      <c r="I6" s="9"/>
      <c r="J6" s="9"/>
      <c r="K6" s="9"/>
      <c r="L6" s="6">
        <v>8</v>
      </c>
      <c r="M6" s="7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96"/>
      <c r="AO6" s="24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7" t="s">
        <v>32</v>
      </c>
      <c r="BB6" s="28">
        <f>MIN(AZ14:AZ18)</f>
        <v>1</v>
      </c>
      <c r="BC6" s="25"/>
      <c r="BD6" s="25"/>
      <c r="BE6" s="25" t="s">
        <v>37</v>
      </c>
      <c r="BF6" s="25" t="s">
        <v>39</v>
      </c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6"/>
    </row>
    <row r="7" spans="1:83">
      <c r="A7" s="1"/>
      <c r="B7" s="94"/>
      <c r="C7" s="82" t="s">
        <v>7</v>
      </c>
      <c r="D7" s="82"/>
      <c r="E7" s="82"/>
      <c r="F7" s="82"/>
      <c r="G7" s="82"/>
      <c r="H7" s="82"/>
      <c r="I7" s="82"/>
      <c r="J7" s="82"/>
      <c r="K7" s="82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96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9" t="s">
        <v>33</v>
      </c>
      <c r="BB7" s="30">
        <f>DMIN($AZ$13:$AZ$18,"a",BE6:BE7)</f>
        <v>2</v>
      </c>
      <c r="BC7" s="25"/>
      <c r="BD7" s="25"/>
      <c r="BE7" s="25" t="str">
        <f>"&gt;"&amp;BB6</f>
        <v>&gt;1</v>
      </c>
      <c r="BF7" s="25" t="s">
        <v>37</v>
      </c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6"/>
    </row>
    <row r="8" spans="1:83" ht="15.75" thickBot="1">
      <c r="B8" s="94"/>
      <c r="C8" s="108" t="str">
        <f>IF(Year&lt;0,"Year should be positive",IF(Year&gt;20,"The first 20 years are taken into account",""))</f>
        <v/>
      </c>
      <c r="D8" s="108"/>
      <c r="E8" s="108"/>
      <c r="F8" s="108"/>
      <c r="G8" s="108"/>
      <c r="H8" s="108"/>
      <c r="I8" s="108"/>
      <c r="J8" s="108"/>
      <c r="K8" s="108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96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9" t="s">
        <v>34</v>
      </c>
      <c r="BB8" s="30">
        <f>DMIN($AZ$13:$AZ$18,"a",BF7:BF8)</f>
        <v>3</v>
      </c>
      <c r="BC8" s="25"/>
      <c r="BD8" s="25"/>
      <c r="BE8" s="25" t="s">
        <v>37</v>
      </c>
      <c r="BF8" s="25" t="str">
        <f>"&gt;"&amp;BB7</f>
        <v>&gt;2</v>
      </c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6"/>
    </row>
    <row r="9" spans="1:83" ht="15.75" thickBot="1">
      <c r="B9" s="94"/>
      <c r="C9" s="8" t="s">
        <v>16</v>
      </c>
      <c r="D9" s="9"/>
      <c r="E9" s="9"/>
      <c r="F9" s="9"/>
      <c r="G9" s="9"/>
      <c r="H9" s="9"/>
      <c r="I9" s="9"/>
      <c r="J9" s="9"/>
      <c r="K9" s="9"/>
      <c r="L9" s="6">
        <v>10</v>
      </c>
      <c r="M9" s="7"/>
      <c r="N9" s="81" t="s">
        <v>8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96"/>
      <c r="AO9" s="24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9" t="s">
        <v>35</v>
      </c>
      <c r="BB9" s="30">
        <f>DMIN($AZ$13:$AZ$18,"a",BE8:BE9)</f>
        <v>5</v>
      </c>
      <c r="BC9" s="25"/>
      <c r="BD9" s="25"/>
      <c r="BE9" s="25" t="str">
        <f>"&gt;"&amp;BB8</f>
        <v>&gt;3</v>
      </c>
      <c r="BF9" s="25" t="s">
        <v>37</v>
      </c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6"/>
    </row>
    <row r="10" spans="1:83" ht="15.75" thickBot="1">
      <c r="B10" s="94"/>
      <c r="C10" s="82" t="str">
        <f>IF(Control_2,"","MARR should be positive")</f>
        <v/>
      </c>
      <c r="D10" s="82"/>
      <c r="E10" s="82"/>
      <c r="F10" s="82"/>
      <c r="G10" s="82"/>
      <c r="H10" s="82"/>
      <c r="I10" s="82"/>
      <c r="J10" s="82"/>
      <c r="K10" s="82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96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31" t="s">
        <v>36</v>
      </c>
      <c r="BB10" s="32">
        <f>DMIN($AZ$13:$AZ$18,"a",BF9:BF10)</f>
        <v>10</v>
      </c>
      <c r="BC10" s="25"/>
      <c r="BD10" s="25"/>
      <c r="BE10" s="25"/>
      <c r="BF10" s="25" t="str">
        <f>"&gt;"&amp;BB9</f>
        <v>&gt;5</v>
      </c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33" t="b">
        <f>NOT(OR(Year&lt;0,Year&gt;20))</f>
        <v>1</v>
      </c>
      <c r="CC10" s="34"/>
    </row>
    <row r="11" spans="1:83" ht="15.75" thickBot="1">
      <c r="B11" s="94"/>
      <c r="C11" s="8" t="s">
        <v>17</v>
      </c>
      <c r="D11" s="9"/>
      <c r="E11" s="9"/>
      <c r="F11" s="9"/>
      <c r="G11" s="9"/>
      <c r="H11" s="9"/>
      <c r="I11" s="9"/>
      <c r="J11" s="9"/>
      <c r="K11" s="9"/>
      <c r="L11" s="6">
        <v>10</v>
      </c>
      <c r="M11" s="7"/>
      <c r="N11" s="81" t="s">
        <v>8</v>
      </c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96"/>
      <c r="AO11" s="24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33"/>
      <c r="CC11" s="34"/>
    </row>
    <row r="12" spans="1:83">
      <c r="B12" s="94"/>
      <c r="C12" s="82"/>
      <c r="D12" s="82"/>
      <c r="E12" s="82"/>
      <c r="F12" s="82"/>
      <c r="G12" s="82"/>
      <c r="H12" s="82"/>
      <c r="I12" s="82"/>
      <c r="J12" s="82"/>
      <c r="K12" s="82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96"/>
      <c r="AO12" s="24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33" t="b">
        <f>NOT(L9&lt;0)</f>
        <v>1</v>
      </c>
      <c r="CC12" s="34"/>
    </row>
    <row r="13" spans="1:83">
      <c r="B13" s="94"/>
      <c r="C13" s="83"/>
      <c r="D13" s="83"/>
      <c r="E13" s="83"/>
      <c r="F13" s="83"/>
      <c r="G13" s="83"/>
      <c r="H13" s="83"/>
      <c r="I13" s="83"/>
      <c r="J13" s="83"/>
      <c r="K13" s="83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96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 t="s">
        <v>37</v>
      </c>
      <c r="BA13" s="25">
        <f>IF(AND(BA18,BA19),BA17,0)</f>
        <v>0.13704474216576293</v>
      </c>
      <c r="BB13" s="25">
        <f t="shared" ref="BB13:BU13" si="0">IF(AND(BB18,BB19),BB17,0)</f>
        <v>0.16739027899540893</v>
      </c>
      <c r="BC13" s="25">
        <f t="shared" si="0"/>
        <v>0.13151359351499595</v>
      </c>
      <c r="BD13" s="25">
        <f t="shared" si="0"/>
        <v>0</v>
      </c>
      <c r="BE13" s="25">
        <f t="shared" si="0"/>
        <v>0.1407667034605761</v>
      </c>
      <c r="BF13" s="25">
        <f t="shared" si="0"/>
        <v>0.31309821517971198</v>
      </c>
      <c r="BG13" s="25">
        <f t="shared" si="0"/>
        <v>0.1259997430531076</v>
      </c>
      <c r="BH13" s="25">
        <f t="shared" si="0"/>
        <v>0</v>
      </c>
      <c r="BI13" s="25">
        <f t="shared" si="0"/>
        <v>0.14251410022349864</v>
      </c>
      <c r="BJ13" s="25">
        <f t="shared" si="0"/>
        <v>0</v>
      </c>
      <c r="BK13" s="25">
        <f t="shared" si="0"/>
        <v>0</v>
      </c>
      <c r="BL13" s="25">
        <f t="shared" si="0"/>
        <v>0</v>
      </c>
      <c r="BM13" s="25">
        <f t="shared" si="0"/>
        <v>0.12394137171157951</v>
      </c>
      <c r="BN13" s="25">
        <f t="shared" si="0"/>
        <v>0</v>
      </c>
      <c r="BO13" s="25">
        <f t="shared" si="0"/>
        <v>0</v>
      </c>
      <c r="BP13" s="25">
        <f t="shared" si="0"/>
        <v>0</v>
      </c>
      <c r="BQ13" s="25">
        <f t="shared" si="0"/>
        <v>0.15710685894458351</v>
      </c>
      <c r="BR13" s="25">
        <f t="shared" si="0"/>
        <v>0</v>
      </c>
      <c r="BS13" s="25">
        <f t="shared" si="0"/>
        <v>0</v>
      </c>
      <c r="BT13" s="25">
        <f t="shared" si="0"/>
        <v>0</v>
      </c>
      <c r="BU13" s="25">
        <f t="shared" si="0"/>
        <v>0</v>
      </c>
      <c r="BV13" s="25"/>
      <c r="BW13" s="25"/>
      <c r="BX13" s="25"/>
      <c r="BY13" s="25"/>
      <c r="BZ13" s="25"/>
      <c r="CA13" s="25"/>
      <c r="CB13" s="33"/>
      <c r="CC13" s="34"/>
    </row>
    <row r="14" spans="1:83">
      <c r="B14" s="94"/>
      <c r="C14" s="83"/>
      <c r="D14" s="83"/>
      <c r="E14" s="83"/>
      <c r="F14" s="83"/>
      <c r="G14" s="83"/>
      <c r="H14" s="83"/>
      <c r="I14" s="83"/>
      <c r="J14" s="83"/>
      <c r="K14" s="83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96"/>
      <c r="AO14" s="24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>
        <f>IF(BA15,BA16,10)</f>
        <v>1</v>
      </c>
      <c r="BA14" s="25"/>
      <c r="BB14" s="25"/>
      <c r="BC14" s="25"/>
      <c r="BD14" s="25"/>
      <c r="BE14" s="25"/>
      <c r="BF14" s="25">
        <v>1</v>
      </c>
      <c r="BG14" s="25">
        <v>2</v>
      </c>
      <c r="BH14" s="25">
        <v>3</v>
      </c>
      <c r="BI14" s="25">
        <v>4</v>
      </c>
      <c r="BJ14" s="25">
        <v>5</v>
      </c>
      <c r="BK14" s="25">
        <v>6</v>
      </c>
      <c r="BL14" s="25">
        <v>7</v>
      </c>
      <c r="BM14" s="25">
        <v>8</v>
      </c>
      <c r="BN14" s="25">
        <v>9</v>
      </c>
      <c r="BO14" s="25">
        <v>10</v>
      </c>
      <c r="BP14" s="25">
        <v>11</v>
      </c>
      <c r="BQ14" s="25">
        <v>12</v>
      </c>
      <c r="BR14" s="25">
        <v>13</v>
      </c>
      <c r="BS14" s="25">
        <v>14</v>
      </c>
      <c r="BT14" s="25">
        <v>15</v>
      </c>
      <c r="BU14" s="25">
        <v>16</v>
      </c>
      <c r="BV14" s="25"/>
      <c r="BW14" s="25"/>
      <c r="BX14" s="25" t="s">
        <v>30</v>
      </c>
      <c r="BY14" s="25" t="s">
        <v>45</v>
      </c>
      <c r="BZ14" s="25"/>
      <c r="CA14" s="25"/>
      <c r="CB14" s="33"/>
      <c r="CC14" s="34"/>
    </row>
    <row r="15" spans="1:83">
      <c r="B15" s="94"/>
      <c r="C15" s="104"/>
      <c r="D15" s="104"/>
      <c r="E15" s="104"/>
      <c r="F15" s="104"/>
      <c r="G15" s="104"/>
      <c r="H15" s="104"/>
      <c r="I15" s="104"/>
      <c r="J15" s="104"/>
      <c r="K15" s="104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96"/>
      <c r="AO15" s="24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>
        <f>IF(BB15,BB16,10)</f>
        <v>2</v>
      </c>
      <c r="BA15" s="25" t="b">
        <f>IF(AND(BA18,BA19),BA17&gt;MARR/100,FALSE)</f>
        <v>1</v>
      </c>
      <c r="BB15" s="25" t="b">
        <f>IF(AND(BB18,BB19),BB17&gt;MARR/100,FALSE)</f>
        <v>1</v>
      </c>
      <c r="BC15" s="25" t="b">
        <f>IF(AND(BC18,BC19),BC17&gt;MARR/100,FALSE)</f>
        <v>1</v>
      </c>
      <c r="BD15" s="25" t="b">
        <f>IF(AND(BD18,BD19),BD17&gt;MARR/100,FALSE)</f>
        <v>0</v>
      </c>
      <c r="BE15" s="25" t="b">
        <f>IF(AND(BE18,BE19),BE17&gt;MARR/100,FALSE)</f>
        <v>1</v>
      </c>
      <c r="BF15" s="25" t="b">
        <f>IF(AND(BF18,BF19),BF17&gt;MARR/100,FALSE)</f>
        <v>1</v>
      </c>
      <c r="BG15" s="25" t="b">
        <f>IF(AND(BG18,BG19),BG17&gt;MARR/100,FALSE)</f>
        <v>1</v>
      </c>
      <c r="BH15" s="25" t="b">
        <f>IF(AND(BH18,BH19),BH17&gt;MARR/100,FALSE)</f>
        <v>0</v>
      </c>
      <c r="BI15" s="25" t="b">
        <f>IF(AND(BI18,BI19),BI17&gt;MARR/100,FALSE)</f>
        <v>1</v>
      </c>
      <c r="BJ15" s="25"/>
      <c r="BK15" s="25" t="b">
        <f>IF(AND(BK18,BK19),BK17&gt;MARR/100,FALSE)</f>
        <v>0</v>
      </c>
      <c r="BL15" s="25" t="b">
        <f>IF(AND(BL18,BL19),BL17&gt;MARR/100,FALSE)</f>
        <v>0</v>
      </c>
      <c r="BM15" s="25" t="b">
        <f>IF(AND(BM18,BM19),BM17&gt;MARR/100,FALSE)</f>
        <v>1</v>
      </c>
      <c r="BN15" s="25"/>
      <c r="BO15" s="25"/>
      <c r="BP15" s="25" t="b">
        <f>IF(AND(BP18,BP19),BP17&gt;MARR/100,FALSE)</f>
        <v>0</v>
      </c>
      <c r="BQ15" s="25" t="b">
        <f>IF(AND(BQ18,BQ19),BQ17&gt;MARR/100,FALSE)</f>
        <v>1</v>
      </c>
      <c r="BR15" s="25"/>
      <c r="BS15" s="25"/>
      <c r="BT15" s="25"/>
      <c r="BU15" s="25" t="b">
        <f>IF(AND(BU18,BU19),BU17&gt;MARR/100,FALSE)</f>
        <v>0</v>
      </c>
      <c r="BV15" s="25"/>
      <c r="BW15" s="25" t="s">
        <v>40</v>
      </c>
      <c r="BX15" s="35">
        <f>IF(BB5&gt;0,INDEX(BA13:BE13,1,BB6),-100)</f>
        <v>0.13704474216576293</v>
      </c>
      <c r="BY15" s="25">
        <f>BB6</f>
        <v>1</v>
      </c>
      <c r="BZ15" s="25"/>
      <c r="CA15" s="25"/>
      <c r="CB15" s="33"/>
      <c r="CC15" s="34"/>
    </row>
    <row r="16" spans="1:83" ht="16.5" thickBot="1">
      <c r="B16" s="94"/>
      <c r="C16" s="115" t="s">
        <v>19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96"/>
      <c r="AO16" s="24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>
        <f>IF(BC15,BC16,10)</f>
        <v>3</v>
      </c>
      <c r="BA16" s="25">
        <v>1</v>
      </c>
      <c r="BB16" s="25">
        <v>2</v>
      </c>
      <c r="BC16" s="25">
        <v>3</v>
      </c>
      <c r="BD16" s="25">
        <v>4</v>
      </c>
      <c r="BE16" s="25">
        <v>5</v>
      </c>
      <c r="BF16" s="25" t="s">
        <v>21</v>
      </c>
      <c r="BG16" s="25" t="s">
        <v>20</v>
      </c>
      <c r="BH16" s="25" t="s">
        <v>22</v>
      </c>
      <c r="BI16" s="25" t="s">
        <v>23</v>
      </c>
      <c r="BJ16" s="25"/>
      <c r="BK16" s="25" t="s">
        <v>24</v>
      </c>
      <c r="BL16" s="25" t="s">
        <v>25</v>
      </c>
      <c r="BM16" s="25" t="s">
        <v>26</v>
      </c>
      <c r="BN16" s="25"/>
      <c r="BO16" s="25"/>
      <c r="BP16" s="25" t="s">
        <v>27</v>
      </c>
      <c r="BQ16" s="25" t="s">
        <v>28</v>
      </c>
      <c r="BR16" s="25"/>
      <c r="BS16" s="25"/>
      <c r="BT16" s="25"/>
      <c r="BU16" s="25" t="s">
        <v>29</v>
      </c>
      <c r="BV16" s="25"/>
      <c r="BW16" s="25" t="s">
        <v>41</v>
      </c>
      <c r="BX16" s="35">
        <f>IF(BB7=10,-100,INDEX($BF$13:$BU$13,1,4*(-1+BY15)+(BB7-1)))</f>
        <v>0.31309821517971198</v>
      </c>
      <c r="BY16" s="25">
        <f>IF(BX16&gt;MARR/100,BB7,BY15)</f>
        <v>2</v>
      </c>
      <c r="BZ16" s="25"/>
      <c r="CA16" s="25"/>
      <c r="CB16" s="33"/>
      <c r="CC16" s="34"/>
    </row>
    <row r="17" spans="2:81">
      <c r="B17" s="97"/>
      <c r="C17" s="116" t="s">
        <v>11</v>
      </c>
      <c r="D17" s="117"/>
      <c r="E17" s="118" t="s">
        <v>1</v>
      </c>
      <c r="F17" s="118"/>
      <c r="G17" s="118"/>
      <c r="H17" s="118"/>
      <c r="I17" s="118"/>
      <c r="J17" s="118"/>
      <c r="K17" s="117" t="s">
        <v>2</v>
      </c>
      <c r="L17" s="117"/>
      <c r="M17" s="117"/>
      <c r="N17" s="117" t="s">
        <v>3</v>
      </c>
      <c r="O17" s="117"/>
      <c r="P17" s="117"/>
      <c r="Q17" s="117" t="s">
        <v>4</v>
      </c>
      <c r="R17" s="117"/>
      <c r="S17" s="117"/>
      <c r="T17" s="117" t="s">
        <v>5</v>
      </c>
      <c r="U17" s="117"/>
      <c r="V17" s="117"/>
      <c r="W17" s="117" t="s">
        <v>6</v>
      </c>
      <c r="X17" s="117"/>
      <c r="Y17" s="119"/>
      <c r="Z17" s="104"/>
      <c r="AA17" s="124" t="s">
        <v>12</v>
      </c>
      <c r="AB17" s="125"/>
      <c r="AC17" s="126"/>
      <c r="AD17" s="104"/>
      <c r="AE17" s="104"/>
      <c r="AF17" s="104"/>
      <c r="AG17" s="104"/>
      <c r="AH17" s="104"/>
      <c r="AI17" s="104"/>
      <c r="AJ17" s="104"/>
      <c r="AK17" s="105"/>
      <c r="AO17" s="24"/>
      <c r="AP17" s="25"/>
      <c r="AQ17" s="25"/>
      <c r="AR17" s="25"/>
      <c r="AS17" s="25"/>
      <c r="AT17" s="25"/>
      <c r="AU17" s="25"/>
      <c r="AV17" s="25"/>
      <c r="AW17" s="25"/>
      <c r="AX17" s="25"/>
      <c r="AY17" s="25" t="s">
        <v>30</v>
      </c>
      <c r="AZ17" s="25">
        <f>IF(BD15,BD16,10)</f>
        <v>10</v>
      </c>
      <c r="BA17" s="36">
        <f t="shared" ref="BA17:BD17" si="1">IRR(BA23:BA43)</f>
        <v>0.13704474216576293</v>
      </c>
      <c r="BB17" s="36">
        <f t="shared" si="1"/>
        <v>0.16739027899540893</v>
      </c>
      <c r="BC17" s="36">
        <f t="shared" si="1"/>
        <v>0.13151359351499595</v>
      </c>
      <c r="BD17" s="36">
        <f t="shared" si="1"/>
        <v>8.8994895597550236E-2</v>
      </c>
      <c r="BE17" s="36">
        <f>IRR(BE23:BE43)</f>
        <v>0.1407667034605761</v>
      </c>
      <c r="BF17" s="36">
        <f>IRR(BF23:BF43)</f>
        <v>0.31309821517971198</v>
      </c>
      <c r="BG17" s="36">
        <f t="shared" ref="BG17:BR17" si="2">IRR(BG23:BG43)</f>
        <v>0.1259997430531076</v>
      </c>
      <c r="BH17" s="36">
        <f t="shared" si="2"/>
        <v>4.7598454197895289E-2</v>
      </c>
      <c r="BI17" s="36">
        <f t="shared" si="2"/>
        <v>0.14251410022349864</v>
      </c>
      <c r="BJ17" s="25"/>
      <c r="BK17" s="36" t="e">
        <f>IRR(BK23:BK43)</f>
        <v>#DIV/0!</v>
      </c>
      <c r="BL17" s="36">
        <f>IRR(BL23:BL43)</f>
        <v>-1.7000480426959487E-2</v>
      </c>
      <c r="BM17" s="36">
        <f>IRR(BM23:BM43)</f>
        <v>0.12394137171157951</v>
      </c>
      <c r="BN17" s="25"/>
      <c r="BO17" s="25"/>
      <c r="BP17" s="36" t="e">
        <f>IRR(BP23:BP43)</f>
        <v>#DIV/0!</v>
      </c>
      <c r="BQ17" s="36">
        <f>IRR(BQ23:BQ43)</f>
        <v>0.15710685894458351</v>
      </c>
      <c r="BR17" s="25"/>
      <c r="BS17" s="36"/>
      <c r="BT17" s="36"/>
      <c r="BU17" s="36">
        <f>IRR(BU23:BU43)</f>
        <v>0.2756346953645411</v>
      </c>
      <c r="BV17" s="25"/>
      <c r="BW17" s="25" t="s">
        <v>42</v>
      </c>
      <c r="BX17" s="35">
        <f t="shared" ref="BX17:BX19" si="3">IF(BB8=10,-100,INDEX($BF$13:$BU$13,1,4*(-1+BY16)+(BB8-1)))</f>
        <v>0</v>
      </c>
      <c r="BY17" s="25">
        <f>IF(BX17&gt;MARR/100,BB8,BY16)</f>
        <v>2</v>
      </c>
      <c r="BZ17" s="25"/>
      <c r="CA17" s="25"/>
      <c r="CB17" s="33"/>
      <c r="CC17" s="34"/>
    </row>
    <row r="18" spans="2:81" ht="15" customHeight="1" thickBot="1">
      <c r="B18" s="97"/>
      <c r="C18" s="120"/>
      <c r="D18" s="121"/>
      <c r="E18" s="122"/>
      <c r="F18" s="122"/>
      <c r="G18" s="122"/>
      <c r="H18" s="122"/>
      <c r="I18" s="122"/>
      <c r="J18" s="122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3"/>
      <c r="Z18" s="104"/>
      <c r="AA18" s="127"/>
      <c r="AB18" s="128"/>
      <c r="AC18" s="129"/>
      <c r="AD18" s="104"/>
      <c r="AE18" s="104"/>
      <c r="AF18" s="104"/>
      <c r="AG18" s="104"/>
      <c r="AH18" s="104"/>
      <c r="AI18" s="104"/>
      <c r="AJ18" s="104"/>
      <c r="AK18" s="105"/>
      <c r="AO18" s="24"/>
      <c r="AP18" s="25"/>
      <c r="AQ18" s="25"/>
      <c r="AR18" s="25"/>
      <c r="AS18" s="25"/>
      <c r="AT18" s="25"/>
      <c r="AU18" s="25"/>
      <c r="AV18" s="25"/>
      <c r="AW18" s="25"/>
      <c r="AX18" s="25"/>
      <c r="AY18" s="37" t="s">
        <v>31</v>
      </c>
      <c r="AZ18" s="25">
        <f>IF(BE15,BE16,10)</f>
        <v>5</v>
      </c>
      <c r="BA18" s="25" t="b">
        <f>AA20&gt;0</f>
        <v>1</v>
      </c>
      <c r="BB18" s="25" t="b">
        <f>AA21&gt;0</f>
        <v>1</v>
      </c>
      <c r="BC18" s="25" t="b">
        <f>AA22&gt;0</f>
        <v>1</v>
      </c>
      <c r="BD18" s="25" t="b">
        <f>AA23&gt;0</f>
        <v>0</v>
      </c>
      <c r="BE18" s="25" t="b">
        <f>AA24&gt;0</f>
        <v>1</v>
      </c>
      <c r="BF18" s="25" t="b">
        <f>AND(AA20&gt;0,AA21&gt;0)</f>
        <v>1</v>
      </c>
      <c r="BG18" s="25" t="b">
        <f>AND(AA20&gt;0,AA22&gt;0)</f>
        <v>1</v>
      </c>
      <c r="BH18" s="25" t="b">
        <f>AND(AA20&gt;0,AA23&gt;0)</f>
        <v>0</v>
      </c>
      <c r="BI18" s="25" t="b">
        <f>AND(AA20&gt;0,AA24&gt;0)</f>
        <v>1</v>
      </c>
      <c r="BJ18" s="25" t="b">
        <v>0</v>
      </c>
      <c r="BK18" s="25" t="b">
        <f>AND(AA21&gt;0,AA22&gt;0)</f>
        <v>1</v>
      </c>
      <c r="BL18" s="25" t="b">
        <f>AND(AA21&gt;0,AA23&gt;0)</f>
        <v>0</v>
      </c>
      <c r="BM18" s="25" t="b">
        <f>AND(AA21&gt;0,AA24&gt;0)</f>
        <v>1</v>
      </c>
      <c r="BN18" s="25" t="b">
        <v>0</v>
      </c>
      <c r="BO18" s="25" t="b">
        <v>0</v>
      </c>
      <c r="BP18" s="25" t="b">
        <f>AND(AA22&gt;0,AA23&gt;0)</f>
        <v>0</v>
      </c>
      <c r="BQ18" s="25" t="b">
        <f>AND(AA22&gt;0,AA24&gt;0)</f>
        <v>1</v>
      </c>
      <c r="BR18" s="25" t="b">
        <v>0</v>
      </c>
      <c r="BS18" s="25" t="b">
        <v>0</v>
      </c>
      <c r="BT18" s="25" t="b">
        <v>0</v>
      </c>
      <c r="BU18" s="25" t="b">
        <f>AND(AA23&gt;0,AA24&gt;0)</f>
        <v>0</v>
      </c>
      <c r="BV18" s="25"/>
      <c r="BW18" s="25" t="s">
        <v>43</v>
      </c>
      <c r="BX18" s="35">
        <f t="shared" si="3"/>
        <v>0.12394137171157951</v>
      </c>
      <c r="BY18" s="25">
        <f>IF(BX18&gt;MARR/100,BB9,BY17)</f>
        <v>5</v>
      </c>
      <c r="BZ18" s="25"/>
      <c r="CA18" s="25"/>
      <c r="CB18" s="33"/>
      <c r="CC18" s="34"/>
    </row>
    <row r="19" spans="2:81">
      <c r="B19" s="94"/>
      <c r="C19" s="258">
        <v>0</v>
      </c>
      <c r="D19" s="259"/>
      <c r="E19" s="16" t="s">
        <v>0</v>
      </c>
      <c r="F19" s="16"/>
      <c r="G19" s="16"/>
      <c r="H19" s="16"/>
      <c r="I19" s="16"/>
      <c r="J19" s="16"/>
      <c r="K19" s="14">
        <v>0</v>
      </c>
      <c r="L19" s="14"/>
      <c r="M19" s="14"/>
      <c r="N19" s="14">
        <v>0</v>
      </c>
      <c r="O19" s="14"/>
      <c r="P19" s="14"/>
      <c r="Q19" s="14">
        <v>0</v>
      </c>
      <c r="R19" s="14"/>
      <c r="S19" s="14"/>
      <c r="T19" s="260">
        <v>0</v>
      </c>
      <c r="U19" s="260"/>
      <c r="V19" s="260"/>
      <c r="W19" s="14">
        <v>0</v>
      </c>
      <c r="X19" s="14"/>
      <c r="Y19" s="20"/>
      <c r="Z19" s="107"/>
      <c r="AA19" s="261">
        <v>0</v>
      </c>
      <c r="AB19" s="262"/>
      <c r="AC19" s="263"/>
      <c r="AD19" s="81"/>
      <c r="AE19" s="81"/>
      <c r="AF19" s="81"/>
      <c r="AG19" s="81"/>
      <c r="AH19" s="81"/>
      <c r="AI19" s="81"/>
      <c r="AJ19" s="81"/>
      <c r="AK19" s="96"/>
      <c r="AL19" s="1"/>
      <c r="AM19" s="1"/>
      <c r="AO19" s="24"/>
      <c r="AP19" s="25"/>
      <c r="AQ19" s="25"/>
      <c r="AR19" s="25"/>
      <c r="AS19" s="25"/>
      <c r="AT19" s="25"/>
      <c r="AU19" s="25"/>
      <c r="AV19" s="25"/>
      <c r="AW19" s="25"/>
      <c r="AX19" s="25"/>
      <c r="AY19" s="37"/>
      <c r="AZ19" s="25"/>
      <c r="BA19" s="25" t="b">
        <f>IF(ISERROR(BA17),FALSE,TRUE)</f>
        <v>1</v>
      </c>
      <c r="BB19" s="25" t="b">
        <f t="shared" ref="BB19:BE19" si="4">IF(ISERROR(BB17),FALSE,TRUE)</f>
        <v>1</v>
      </c>
      <c r="BC19" s="25" t="b">
        <f t="shared" si="4"/>
        <v>1</v>
      </c>
      <c r="BD19" s="25" t="b">
        <f t="shared" si="4"/>
        <v>1</v>
      </c>
      <c r="BE19" s="25" t="b">
        <f t="shared" si="4"/>
        <v>1</v>
      </c>
      <c r="BF19" s="25" t="b">
        <f t="shared" ref="BF19:BR19" si="5">IF(ISERROR(BF17),FALSE,TRUE)</f>
        <v>1</v>
      </c>
      <c r="BG19" s="25" t="b">
        <f t="shared" si="5"/>
        <v>1</v>
      </c>
      <c r="BH19" s="25" t="b">
        <f t="shared" si="5"/>
        <v>1</v>
      </c>
      <c r="BI19" s="25" t="b">
        <f t="shared" si="5"/>
        <v>1</v>
      </c>
      <c r="BJ19" s="25" t="b">
        <v>0</v>
      </c>
      <c r="BK19" s="25" t="b">
        <f>IF(ISERROR(BK17),FALSE,TRUE)</f>
        <v>0</v>
      </c>
      <c r="BL19" s="25" t="b">
        <f>IF(ISERROR(BL17),FALSE,TRUE)</f>
        <v>1</v>
      </c>
      <c r="BM19" s="25" t="b">
        <f>IF(ISERROR(BM17),FALSE,TRUE)</f>
        <v>1</v>
      </c>
      <c r="BN19" s="25" t="b">
        <v>0</v>
      </c>
      <c r="BO19" s="25" t="b">
        <v>0</v>
      </c>
      <c r="BP19" s="25" t="b">
        <f>IF(ISERROR(BP17),FALSE,TRUE)</f>
        <v>0</v>
      </c>
      <c r="BQ19" s="25" t="b">
        <f>IF(ISERROR(BQ17),FALSE,TRUE)</f>
        <v>1</v>
      </c>
      <c r="BR19" s="25" t="b">
        <v>0</v>
      </c>
      <c r="BS19" s="25" t="b">
        <v>0</v>
      </c>
      <c r="BT19" s="25" t="b">
        <v>0</v>
      </c>
      <c r="BU19" s="25" t="b">
        <f>IF(ISERROR(BU17),FALSE,TRUE)</f>
        <v>1</v>
      </c>
      <c r="BV19" s="25"/>
      <c r="BW19" s="25" t="s">
        <v>44</v>
      </c>
      <c r="BX19" s="35">
        <f t="shared" si="3"/>
        <v>-100</v>
      </c>
      <c r="BY19" s="25">
        <f>IF(BX19&gt;MARR/100,BB10,BY18)</f>
        <v>5</v>
      </c>
      <c r="BZ19" s="25"/>
      <c r="CA19" s="25"/>
      <c r="CB19" s="25"/>
      <c r="CC19" s="26"/>
    </row>
    <row r="20" spans="2:81">
      <c r="B20" s="94"/>
      <c r="C20" s="67">
        <v>1</v>
      </c>
      <c r="D20" s="68"/>
      <c r="E20" s="17" t="s">
        <v>60</v>
      </c>
      <c r="F20" s="17"/>
      <c r="G20" s="17"/>
      <c r="H20" s="17"/>
      <c r="I20" s="17"/>
      <c r="J20" s="17"/>
      <c r="K20" s="10">
        <v>1000</v>
      </c>
      <c r="L20" s="10"/>
      <c r="M20" s="10"/>
      <c r="N20" s="10">
        <v>250</v>
      </c>
      <c r="O20" s="10"/>
      <c r="P20" s="10"/>
      <c r="Q20" s="10">
        <v>50</v>
      </c>
      <c r="R20" s="10"/>
      <c r="S20" s="10"/>
      <c r="T20" s="257">
        <f>IF(AND(Control_1,CB22),N20-Q20,"")</f>
        <v>200</v>
      </c>
      <c r="U20" s="257"/>
      <c r="V20" s="257"/>
      <c r="W20" s="10">
        <v>200</v>
      </c>
      <c r="X20" s="10"/>
      <c r="Y20" s="11"/>
      <c r="Z20" s="81"/>
      <c r="AA20" s="254">
        <f>IF(AND(Control_1,Control_2,CB22),INDEX(J34:K54,Year+2,1),"")</f>
        <v>160.28671562247939</v>
      </c>
      <c r="AB20" s="255"/>
      <c r="AC20" s="256"/>
      <c r="AD20" s="113" t="str">
        <f>IF(AA20="","",IF(AX22,"The option can be taken","This option should not be taken."))</f>
        <v>The option can be taken</v>
      </c>
      <c r="AE20" s="114"/>
      <c r="AF20" s="114"/>
      <c r="AG20" s="114"/>
      <c r="AH20" s="114"/>
      <c r="AI20" s="114"/>
      <c r="AJ20" s="114"/>
      <c r="AK20" s="105"/>
      <c r="AL20" s="1"/>
      <c r="AM20" s="1"/>
      <c r="AO20" s="24"/>
      <c r="AP20" s="25"/>
      <c r="AQ20" s="25"/>
      <c r="AR20" s="38">
        <f>MAX(AA19:AC24)</f>
        <v>527.74981457381159</v>
      </c>
      <c r="AS20" s="39"/>
      <c r="AT20" s="25"/>
      <c r="AU20" s="25"/>
      <c r="AV20" s="25"/>
      <c r="AW20" s="25"/>
      <c r="AX20" s="25"/>
      <c r="AY20" s="40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6"/>
    </row>
    <row r="21" spans="2:81">
      <c r="B21" s="94"/>
      <c r="C21" s="248">
        <v>2</v>
      </c>
      <c r="D21" s="249"/>
      <c r="E21" s="17" t="s">
        <v>61</v>
      </c>
      <c r="F21" s="17"/>
      <c r="G21" s="17"/>
      <c r="H21" s="17"/>
      <c r="I21" s="17"/>
      <c r="J21" s="17"/>
      <c r="K21" s="10">
        <v>1200</v>
      </c>
      <c r="L21" s="10"/>
      <c r="M21" s="10"/>
      <c r="N21" s="10">
        <v>330</v>
      </c>
      <c r="O21" s="10"/>
      <c r="P21" s="10"/>
      <c r="Q21" s="10">
        <v>60</v>
      </c>
      <c r="R21" s="10"/>
      <c r="S21" s="10"/>
      <c r="T21" s="250">
        <f>IF(AND(Control_1,CB23),N21-Q21,"")</f>
        <v>270</v>
      </c>
      <c r="U21" s="250"/>
      <c r="V21" s="250"/>
      <c r="W21" s="10">
        <v>220</v>
      </c>
      <c r="X21" s="10"/>
      <c r="Y21" s="11"/>
      <c r="Z21" s="81"/>
      <c r="AA21" s="251">
        <f>IF(AND(Control_1,Control_2,CB23),INDEX(P34:Q54,Year+2,1),"")</f>
        <v>343.06169707986061</v>
      </c>
      <c r="AB21" s="252"/>
      <c r="AC21" s="253"/>
      <c r="AD21" s="113" t="str">
        <f>IF(AA21="","",IF(AX23,"The option can be taken","This option should not be taken."))</f>
        <v>The option can be taken</v>
      </c>
      <c r="AE21" s="114"/>
      <c r="AF21" s="114"/>
      <c r="AG21" s="114"/>
      <c r="AH21" s="114"/>
      <c r="AI21" s="114"/>
      <c r="AJ21" s="114"/>
      <c r="AK21" s="105"/>
      <c r="AL21" s="1"/>
      <c r="AM21" s="1"/>
      <c r="AO21" s="24"/>
      <c r="AP21" s="38" t="s">
        <v>13</v>
      </c>
      <c r="AQ21" s="25"/>
      <c r="AR21" s="38">
        <f>AA19</f>
        <v>0</v>
      </c>
      <c r="AS21" s="39" t="s">
        <v>0</v>
      </c>
      <c r="AT21" s="25"/>
      <c r="AU21" s="25"/>
      <c r="AV21" s="25" t="str">
        <f>VLOOKUP(AR20,AR21:AS26,2,FALSE)</f>
        <v>Option 5</v>
      </c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 t="s">
        <v>46</v>
      </c>
      <c r="BZ21" s="25" t="s">
        <v>47</v>
      </c>
      <c r="CA21" s="25"/>
      <c r="CB21" s="33"/>
      <c r="CC21" s="34"/>
    </row>
    <row r="22" spans="2:81">
      <c r="B22" s="94"/>
      <c r="C22" s="246">
        <v>3</v>
      </c>
      <c r="D22" s="247"/>
      <c r="E22" s="17" t="s">
        <v>62</v>
      </c>
      <c r="F22" s="17"/>
      <c r="G22" s="17"/>
      <c r="H22" s="17"/>
      <c r="I22" s="17"/>
      <c r="J22" s="17"/>
      <c r="K22" s="10">
        <v>2000</v>
      </c>
      <c r="L22" s="10"/>
      <c r="M22" s="10"/>
      <c r="N22" s="10">
        <v>500</v>
      </c>
      <c r="O22" s="10"/>
      <c r="P22" s="10"/>
      <c r="Q22" s="10">
        <v>110</v>
      </c>
      <c r="R22" s="10"/>
      <c r="S22" s="10"/>
      <c r="T22" s="245">
        <f>IF(AND(Control_1,CB24),N22-Q22,"")</f>
        <v>390</v>
      </c>
      <c r="U22" s="245"/>
      <c r="V22" s="245"/>
      <c r="W22" s="10">
        <v>420</v>
      </c>
      <c r="X22" s="10"/>
      <c r="Y22" s="11"/>
      <c r="Z22" s="81"/>
      <c r="AA22" s="242">
        <f>IF(AND(Control_1,Control_2,CB24),INDEX(V34:W54,Year+2,1),"")</f>
        <v>276.55431687012708</v>
      </c>
      <c r="AB22" s="243"/>
      <c r="AC22" s="244"/>
      <c r="AD22" s="113" t="str">
        <f>IF(AA22="","",IF(AX24,"The option can be taken","This option should not be taken."))</f>
        <v>The option can be taken</v>
      </c>
      <c r="AE22" s="114"/>
      <c r="AF22" s="114"/>
      <c r="AG22" s="114"/>
      <c r="AH22" s="114"/>
      <c r="AI22" s="114"/>
      <c r="AJ22" s="114"/>
      <c r="AK22" s="105"/>
      <c r="AL22" s="1"/>
      <c r="AM22" s="1"/>
      <c r="AO22" s="24" t="str">
        <f>IF(CB22,"Option 1","")</f>
        <v>Option 1</v>
      </c>
      <c r="AP22" s="38">
        <f>AA20</f>
        <v>160.28671562247939</v>
      </c>
      <c r="AQ22" s="25"/>
      <c r="AR22" s="38">
        <f t="shared" ref="AR22:AR26" si="6">AA20</f>
        <v>160.28671562247939</v>
      </c>
      <c r="AS22" s="39" t="str">
        <f>AO22</f>
        <v>Option 1</v>
      </c>
      <c r="AT22" s="25"/>
      <c r="AU22" s="25"/>
      <c r="AV22" s="25"/>
      <c r="AW22" s="25"/>
      <c r="AX22" s="25" t="b">
        <f>AND(Control_1,Control_2,CB22,AR22&gt;0)</f>
        <v>1</v>
      </c>
      <c r="AY22" s="25"/>
      <c r="AZ22" s="25"/>
      <c r="BA22" s="25"/>
      <c r="BB22" s="25"/>
      <c r="BC22" s="25"/>
      <c r="BD22" s="25"/>
      <c r="BE22" s="25"/>
      <c r="BF22" s="25" t="s">
        <v>21</v>
      </c>
      <c r="BG22" s="25" t="s">
        <v>20</v>
      </c>
      <c r="BH22" s="25" t="s">
        <v>22</v>
      </c>
      <c r="BI22" s="25" t="s">
        <v>23</v>
      </c>
      <c r="BJ22" s="25"/>
      <c r="BK22" s="25" t="s">
        <v>24</v>
      </c>
      <c r="BL22" s="25" t="s">
        <v>25</v>
      </c>
      <c r="BM22" s="25" t="s">
        <v>26</v>
      </c>
      <c r="BN22" s="25"/>
      <c r="BO22" s="25"/>
      <c r="BP22" s="25" t="s">
        <v>27</v>
      </c>
      <c r="BQ22" s="25" t="s">
        <v>28</v>
      </c>
      <c r="BR22" s="25"/>
      <c r="BS22" s="25"/>
      <c r="BT22" s="25"/>
      <c r="BU22" s="25" t="s">
        <v>29</v>
      </c>
      <c r="BV22" s="25"/>
      <c r="BW22" s="25">
        <v>1</v>
      </c>
      <c r="BX22" s="25" t="str">
        <f>IF(nb&gt;=BW22,"Opt"&amp;BB6,"")</f>
        <v>Opt1</v>
      </c>
      <c r="BY22" s="35">
        <f>IF(BX15=-100,"",BX15)</f>
        <v>0.13704474216576293</v>
      </c>
      <c r="BZ22" s="35">
        <f>MARR/100</f>
        <v>0.1</v>
      </c>
      <c r="CA22" s="25"/>
      <c r="CB22" s="33" t="b">
        <f>NOT(E20="")</f>
        <v>1</v>
      </c>
      <c r="CC22" s="34" t="b">
        <f>IF(E20="",TRUE,K20&gt;K19)</f>
        <v>1</v>
      </c>
    </row>
    <row r="23" spans="2:81">
      <c r="B23" s="94"/>
      <c r="C23" s="236">
        <v>4</v>
      </c>
      <c r="D23" s="237"/>
      <c r="E23" s="17" t="s">
        <v>63</v>
      </c>
      <c r="F23" s="17"/>
      <c r="G23" s="17"/>
      <c r="H23" s="17"/>
      <c r="I23" s="17"/>
      <c r="J23" s="17"/>
      <c r="K23" s="10">
        <v>2500</v>
      </c>
      <c r="L23" s="10"/>
      <c r="M23" s="10"/>
      <c r="N23" s="10">
        <v>600</v>
      </c>
      <c r="O23" s="10"/>
      <c r="P23" s="10"/>
      <c r="Q23" s="10">
        <v>150</v>
      </c>
      <c r="R23" s="10"/>
      <c r="S23" s="10"/>
      <c r="T23" s="238">
        <f>IF(AND(Control_1,CB25),N23-Q23,"")</f>
        <v>450</v>
      </c>
      <c r="U23" s="238"/>
      <c r="V23" s="238"/>
      <c r="W23" s="10">
        <v>0</v>
      </c>
      <c r="X23" s="10"/>
      <c r="Y23" s="11"/>
      <c r="Z23" s="81"/>
      <c r="AA23" s="239">
        <f>IF(AND(Control_1,Control_2,CB25),INDEX(AB34:AC54,Year+2,1),"")</f>
        <v>-99.283210943801294</v>
      </c>
      <c r="AB23" s="240"/>
      <c r="AC23" s="241"/>
      <c r="AD23" s="113" t="str">
        <f>IF(AA23="","",IF(AX25,"The option can be taken","This option should not be taken."))</f>
        <v>This option should not be taken.</v>
      </c>
      <c r="AE23" s="114"/>
      <c r="AF23" s="114"/>
      <c r="AG23" s="114"/>
      <c r="AH23" s="114"/>
      <c r="AI23" s="114"/>
      <c r="AJ23" s="114"/>
      <c r="AK23" s="105"/>
      <c r="AL23" s="1"/>
      <c r="AM23" s="1"/>
      <c r="AO23" s="24" t="str">
        <f>IF(CB23,"Option 2","")</f>
        <v>Option 2</v>
      </c>
      <c r="AP23" s="38">
        <f t="shared" ref="AP23:AP26" si="7">AA21</f>
        <v>343.06169707986061</v>
      </c>
      <c r="AQ23" s="25"/>
      <c r="AR23" s="38">
        <f t="shared" si="6"/>
        <v>343.06169707986061</v>
      </c>
      <c r="AS23" s="39" t="str">
        <f t="shared" ref="AS23:AS26" si="8">AO23</f>
        <v>Option 2</v>
      </c>
      <c r="AT23" s="25"/>
      <c r="AU23" s="25"/>
      <c r="AV23" s="25"/>
      <c r="AW23" s="25"/>
      <c r="AX23" s="25" t="b">
        <f>AND(Control_1,Control_2,CB23,AR23&gt;0)</f>
        <v>1</v>
      </c>
      <c r="AY23" s="25"/>
      <c r="AZ23" s="25">
        <v>0</v>
      </c>
      <c r="BA23" s="38">
        <f>IF(F34="",0,F34)</f>
        <v>-1000</v>
      </c>
      <c r="BB23" s="38">
        <f>IF(L34="",0,L34)</f>
        <v>-1200</v>
      </c>
      <c r="BC23" s="38">
        <f>IF(R34="",0,R34)</f>
        <v>-2000</v>
      </c>
      <c r="BD23" s="38">
        <f>IF(X34="",0,X34)</f>
        <v>-2500</v>
      </c>
      <c r="BE23" s="38">
        <f>IF(AD34="",0,AD34)</f>
        <v>-3300</v>
      </c>
      <c r="BF23" s="38">
        <f>IF($C34="",0,-F34+L34)</f>
        <v>-200</v>
      </c>
      <c r="BG23" s="38">
        <f>IF($C34="",0,-F34+R34)</f>
        <v>-1000</v>
      </c>
      <c r="BH23" s="38">
        <f>IF($C34="",0,-F34+X34)</f>
        <v>-1500</v>
      </c>
      <c r="BI23" s="38">
        <f>IF($C34="",0,-F34+AD34)</f>
        <v>-2300</v>
      </c>
      <c r="BJ23" s="25"/>
      <c r="BK23" s="38">
        <f>IF($C34="",0,-L34+N34)</f>
        <v>0</v>
      </c>
      <c r="BL23" s="38">
        <f>IF($C34="",0,-L34+X34)</f>
        <v>-1300</v>
      </c>
      <c r="BM23" s="38">
        <f>IF($C34="",0,-L34+AD34)</f>
        <v>-2100</v>
      </c>
      <c r="BN23" s="25"/>
      <c r="BO23" s="25"/>
      <c r="BP23" s="38">
        <f>IF($C34="",0,-R34+X34)</f>
        <v>-500</v>
      </c>
      <c r="BQ23" s="38">
        <f>IF($C34="",0,-R34+AD34)</f>
        <v>-1300</v>
      </c>
      <c r="BR23" s="25"/>
      <c r="BS23" s="38"/>
      <c r="BT23" s="38"/>
      <c r="BU23" s="38">
        <f>IF($C34="",0,-X34+AD34)</f>
        <v>-800</v>
      </c>
      <c r="BV23" s="25"/>
      <c r="BW23" s="25">
        <v>2</v>
      </c>
      <c r="BX23" s="25" t="str">
        <f>IF(nb&gt;=BW23,"Opt("&amp;BB7&amp;"-"&amp;BY15&amp;")","")</f>
        <v>Opt(2-1)</v>
      </c>
      <c r="BY23" s="35">
        <f t="shared" ref="BY23:BY26" si="9">IF(BX16=-100,"",BX16)</f>
        <v>0.31309821517971198</v>
      </c>
      <c r="BZ23" s="35">
        <f>MARR/100</f>
        <v>0.1</v>
      </c>
      <c r="CA23" s="25"/>
      <c r="CB23" s="33" t="b">
        <f>NOT(E21="")</f>
        <v>1</v>
      </c>
      <c r="CC23" s="34" t="b">
        <f>IF(E21="",TRUE,K21&gt;K20)</f>
        <v>1</v>
      </c>
    </row>
    <row r="24" spans="2:81" ht="15.75" thickBot="1">
      <c r="B24" s="94"/>
      <c r="C24" s="230">
        <v>5</v>
      </c>
      <c r="D24" s="231"/>
      <c r="E24" s="15" t="s">
        <v>64</v>
      </c>
      <c r="F24" s="15"/>
      <c r="G24" s="15"/>
      <c r="H24" s="15"/>
      <c r="I24" s="15"/>
      <c r="J24" s="15"/>
      <c r="K24" s="12">
        <v>3300</v>
      </c>
      <c r="L24" s="12"/>
      <c r="M24" s="12"/>
      <c r="N24" s="12">
        <v>900</v>
      </c>
      <c r="O24" s="12"/>
      <c r="P24" s="12"/>
      <c r="Q24" s="12">
        <v>200</v>
      </c>
      <c r="R24" s="12"/>
      <c r="S24" s="12"/>
      <c r="T24" s="232">
        <f>IF(AND(Control_1,CB26),N24-Q24,"")</f>
        <v>700</v>
      </c>
      <c r="U24" s="232"/>
      <c r="V24" s="232"/>
      <c r="W24" s="12">
        <v>200</v>
      </c>
      <c r="X24" s="12"/>
      <c r="Y24" s="13"/>
      <c r="Z24" s="81"/>
      <c r="AA24" s="233">
        <f>IF(AND(Control_1,Control_2,CB26),INDEX(AH34:AI54,Year+2,1),"")</f>
        <v>527.74981457381159</v>
      </c>
      <c r="AB24" s="234"/>
      <c r="AC24" s="235"/>
      <c r="AD24" s="113" t="str">
        <f>IF(AA24="","",IF(AX26,"The option can be taken","This option should not be taken."))</f>
        <v>The option can be taken</v>
      </c>
      <c r="AE24" s="114"/>
      <c r="AF24" s="114"/>
      <c r="AG24" s="114"/>
      <c r="AH24" s="114"/>
      <c r="AI24" s="114"/>
      <c r="AJ24" s="114"/>
      <c r="AK24" s="105"/>
      <c r="AL24" s="1"/>
      <c r="AM24" s="1"/>
      <c r="AO24" s="24" t="str">
        <f>IF(CB24,"Option 3","")</f>
        <v>Option 3</v>
      </c>
      <c r="AP24" s="38">
        <f t="shared" si="7"/>
        <v>276.55431687012708</v>
      </c>
      <c r="AQ24" s="25"/>
      <c r="AR24" s="38">
        <f t="shared" si="6"/>
        <v>276.55431687012708</v>
      </c>
      <c r="AS24" s="39" t="str">
        <f t="shared" si="8"/>
        <v>Option 3</v>
      </c>
      <c r="AT24" s="25"/>
      <c r="AU24" s="25"/>
      <c r="AV24" s="25"/>
      <c r="AW24" s="25"/>
      <c r="AX24" s="25" t="b">
        <f>AND(Control_1,Control_2,CB24,AR24&gt;0)</f>
        <v>1</v>
      </c>
      <c r="AY24" s="25"/>
      <c r="AZ24" s="25">
        <v>1</v>
      </c>
      <c r="BA24" s="38">
        <f t="shared" ref="BA24:BA43" si="10">IF(F35="",0,F35)</f>
        <v>200</v>
      </c>
      <c r="BB24" s="38">
        <f t="shared" ref="BB24:BB43" si="11">IF(L35="",0,L35)</f>
        <v>270</v>
      </c>
      <c r="BC24" s="38">
        <f t="shared" ref="BC24:BC43" si="12">IF(R35="",0,R35)</f>
        <v>390</v>
      </c>
      <c r="BD24" s="38">
        <f t="shared" ref="BD24:BD43" si="13">IF(X35="",0,X35)</f>
        <v>450</v>
      </c>
      <c r="BE24" s="38">
        <f t="shared" ref="BE24:BE43" si="14">IF(AD35="",0,AD35)</f>
        <v>700</v>
      </c>
      <c r="BF24" s="38">
        <f t="shared" ref="BF24:BF43" si="15">IF($C35="",0,-F35+L35)</f>
        <v>70</v>
      </c>
      <c r="BG24" s="38">
        <f>IF($C35="",0,-F35+R35)</f>
        <v>190</v>
      </c>
      <c r="BH24" s="38">
        <f>IF($C35="",0,-F35+X35)</f>
        <v>250</v>
      </c>
      <c r="BI24" s="38">
        <f t="shared" ref="BI24:BI43" si="16">IF($C35="",0,-F35+AD35)</f>
        <v>500</v>
      </c>
      <c r="BJ24" s="25"/>
      <c r="BK24" s="38">
        <f>IF($C35="",0,-L35+N35)</f>
        <v>-24.545454545454561</v>
      </c>
      <c r="BL24" s="38">
        <f>IF($C35="",0,-L35+X35)</f>
        <v>180</v>
      </c>
      <c r="BM24" s="38">
        <f>IF($C35="",0,-L35+AD35)</f>
        <v>430</v>
      </c>
      <c r="BN24" s="25"/>
      <c r="BO24" s="25"/>
      <c r="BP24" s="38">
        <f>IF($C35="",0,-R35+X35)</f>
        <v>60</v>
      </c>
      <c r="BQ24" s="38">
        <f>IF($C35="",0,-R35+AD35)</f>
        <v>310</v>
      </c>
      <c r="BR24" s="25"/>
      <c r="BS24" s="38"/>
      <c r="BT24" s="38"/>
      <c r="BU24" s="38">
        <f>IF($C35="",0,-X35+AD35)</f>
        <v>250</v>
      </c>
      <c r="BV24" s="25"/>
      <c r="BW24" s="25">
        <v>3</v>
      </c>
      <c r="BX24" s="25" t="str">
        <f>IF(nb&gt;=BW24,"Opt("&amp;BB8&amp;"-"&amp;BY16&amp;")","")</f>
        <v>Opt(3-2)</v>
      </c>
      <c r="BY24" s="35">
        <f t="shared" si="9"/>
        <v>0</v>
      </c>
      <c r="BZ24" s="35">
        <f>MARR/100</f>
        <v>0.1</v>
      </c>
      <c r="CA24" s="25"/>
      <c r="CB24" s="33" t="b">
        <f>NOT(E22="")</f>
        <v>1</v>
      </c>
      <c r="CC24" s="34" t="b">
        <f>IF(E22="",TRUE,K22&gt;K21)</f>
        <v>1</v>
      </c>
    </row>
    <row r="25" spans="2:81">
      <c r="B25" s="94"/>
      <c r="C25" s="139" t="str">
        <f>IF(CC27,"","Enter the options in the increasing order of Initial Investments")</f>
        <v/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81"/>
      <c r="AA25" s="106"/>
      <c r="AB25" s="106"/>
      <c r="AC25" s="81"/>
      <c r="AD25" s="81"/>
      <c r="AE25" s="81"/>
      <c r="AF25" s="81"/>
      <c r="AG25" s="81"/>
      <c r="AH25" s="81"/>
      <c r="AI25" s="81"/>
      <c r="AJ25" s="81"/>
      <c r="AK25" s="96"/>
      <c r="AL25" s="1"/>
      <c r="AM25" s="1"/>
      <c r="AO25" s="24" t="str">
        <f>IF(CB25,"Option 4","")</f>
        <v>Option 4</v>
      </c>
      <c r="AP25" s="38">
        <f t="shared" si="7"/>
        <v>-99.283210943801294</v>
      </c>
      <c r="AQ25" s="25"/>
      <c r="AR25" s="38">
        <f t="shared" si="6"/>
        <v>-99.283210943801294</v>
      </c>
      <c r="AS25" s="39" t="str">
        <f t="shared" si="8"/>
        <v>Option 4</v>
      </c>
      <c r="AT25" s="25"/>
      <c r="AU25" s="25"/>
      <c r="AV25" s="25"/>
      <c r="AW25" s="25"/>
      <c r="AX25" s="25" t="b">
        <f>AND(Control_1,Control_2,CB25,AR25&gt;0)</f>
        <v>0</v>
      </c>
      <c r="AY25" s="25"/>
      <c r="AZ25" s="25">
        <v>2</v>
      </c>
      <c r="BA25" s="38">
        <f t="shared" si="10"/>
        <v>200</v>
      </c>
      <c r="BB25" s="38">
        <f t="shared" si="11"/>
        <v>270</v>
      </c>
      <c r="BC25" s="38">
        <f t="shared" si="12"/>
        <v>390</v>
      </c>
      <c r="BD25" s="38">
        <f t="shared" si="13"/>
        <v>450</v>
      </c>
      <c r="BE25" s="38">
        <f t="shared" si="14"/>
        <v>700</v>
      </c>
      <c r="BF25" s="38">
        <f t="shared" si="15"/>
        <v>70</v>
      </c>
      <c r="BG25" s="38">
        <f>IF($C36="",0,-F36+R36)</f>
        <v>190</v>
      </c>
      <c r="BH25" s="38">
        <f>IF($C36="",0,-F36+X36)</f>
        <v>250</v>
      </c>
      <c r="BI25" s="38">
        <f t="shared" si="16"/>
        <v>500</v>
      </c>
      <c r="BJ25" s="25"/>
      <c r="BK25" s="38">
        <f>IF($C36="",0,-L36+N36)</f>
        <v>-46.859504132231422</v>
      </c>
      <c r="BL25" s="38">
        <f>IF($C36="",0,-L36+X36)</f>
        <v>180</v>
      </c>
      <c r="BM25" s="38">
        <f>IF($C36="",0,-L36+AD36)</f>
        <v>430</v>
      </c>
      <c r="BN25" s="25"/>
      <c r="BO25" s="25"/>
      <c r="BP25" s="38">
        <f>IF($C36="",0,-R36+X36)</f>
        <v>60</v>
      </c>
      <c r="BQ25" s="38">
        <f>IF($C36="",0,-R36+AD36)</f>
        <v>310</v>
      </c>
      <c r="BR25" s="25"/>
      <c r="BS25" s="38"/>
      <c r="BT25" s="38"/>
      <c r="BU25" s="38">
        <f>IF($C36="",0,-X36+AD36)</f>
        <v>250</v>
      </c>
      <c r="BV25" s="25"/>
      <c r="BW25" s="25">
        <v>4</v>
      </c>
      <c r="BX25" s="25" t="str">
        <f>IF(nb&gt;=BW25,"Opt("&amp;BB9&amp;"-"&amp;BY17&amp;")","")</f>
        <v>Opt(5-2)</v>
      </c>
      <c r="BY25" s="35">
        <f t="shared" si="9"/>
        <v>0.12394137171157951</v>
      </c>
      <c r="BZ25" s="35">
        <f>MARR/100</f>
        <v>0.1</v>
      </c>
      <c r="CA25" s="25"/>
      <c r="CB25" s="33" t="b">
        <f>NOT(E23="")</f>
        <v>1</v>
      </c>
      <c r="CC25" s="34" t="b">
        <f>IF(E23="",TRUE,K23&gt;K22)</f>
        <v>1</v>
      </c>
    </row>
    <row r="26" spans="2:81">
      <c r="B26" s="94"/>
      <c r="C26" s="90"/>
      <c r="D26" s="90"/>
      <c r="E26" s="90"/>
      <c r="F26" s="90"/>
      <c r="G26" s="90"/>
      <c r="H26" s="90"/>
      <c r="I26" s="81"/>
      <c r="J26" s="81"/>
      <c r="K26" s="81"/>
      <c r="L26" s="81"/>
      <c r="M26" s="106"/>
      <c r="N26" s="106"/>
      <c r="O26" s="81"/>
      <c r="P26" s="81"/>
      <c r="Q26" s="106"/>
      <c r="R26" s="106"/>
      <c r="S26" s="81"/>
      <c r="T26" s="81"/>
      <c r="U26" s="81"/>
      <c r="V26" s="106"/>
      <c r="W26" s="106"/>
      <c r="X26" s="81"/>
      <c r="Y26" s="81"/>
      <c r="Z26" s="81"/>
      <c r="AA26" s="106"/>
      <c r="AB26" s="106"/>
      <c r="AC26" s="81"/>
      <c r="AD26" s="81"/>
      <c r="AE26" s="81"/>
      <c r="AF26" s="81"/>
      <c r="AG26" s="81"/>
      <c r="AH26" s="81"/>
      <c r="AI26" s="81"/>
      <c r="AJ26" s="81"/>
      <c r="AK26" s="96"/>
      <c r="AL26" s="1"/>
      <c r="AM26" s="1"/>
      <c r="AO26" s="24" t="str">
        <f>IF(CB26,"Option 5","")</f>
        <v>Option 5</v>
      </c>
      <c r="AP26" s="38">
        <f t="shared" si="7"/>
        <v>527.74981457381159</v>
      </c>
      <c r="AQ26" s="25"/>
      <c r="AR26" s="38">
        <f t="shared" si="6"/>
        <v>527.74981457381159</v>
      </c>
      <c r="AS26" s="39" t="str">
        <f t="shared" si="8"/>
        <v>Option 5</v>
      </c>
      <c r="AT26" s="25"/>
      <c r="AU26" s="25"/>
      <c r="AV26" s="25"/>
      <c r="AW26" s="25"/>
      <c r="AX26" s="25" t="b">
        <f>AND(Control_1,Control_2,CB26,AR26&gt;0)</f>
        <v>1</v>
      </c>
      <c r="AY26" s="25"/>
      <c r="AZ26" s="25">
        <v>3</v>
      </c>
      <c r="BA26" s="38">
        <f t="shared" si="10"/>
        <v>200</v>
      </c>
      <c r="BB26" s="38">
        <f t="shared" si="11"/>
        <v>270</v>
      </c>
      <c r="BC26" s="38">
        <f t="shared" si="12"/>
        <v>390</v>
      </c>
      <c r="BD26" s="38">
        <f t="shared" si="13"/>
        <v>450</v>
      </c>
      <c r="BE26" s="38">
        <f t="shared" si="14"/>
        <v>700</v>
      </c>
      <c r="BF26" s="38">
        <f t="shared" si="15"/>
        <v>70</v>
      </c>
      <c r="BG26" s="38">
        <f>IF($C37="",0,-F37+R37)</f>
        <v>190</v>
      </c>
      <c r="BH26" s="38">
        <f>IF($C37="",0,-F37+X37)</f>
        <v>250</v>
      </c>
      <c r="BI26" s="38">
        <f t="shared" si="16"/>
        <v>500</v>
      </c>
      <c r="BJ26" s="25"/>
      <c r="BK26" s="38">
        <f>IF($C37="",0,-L37+N37)</f>
        <v>-67.145003756574027</v>
      </c>
      <c r="BL26" s="38">
        <f>IF($C37="",0,-L37+X37)</f>
        <v>180</v>
      </c>
      <c r="BM26" s="38">
        <f>IF($C37="",0,-L37+AD37)</f>
        <v>430</v>
      </c>
      <c r="BN26" s="25"/>
      <c r="BO26" s="25"/>
      <c r="BP26" s="38">
        <f>IF($C37="",0,-R37+X37)</f>
        <v>60</v>
      </c>
      <c r="BQ26" s="38">
        <f>IF($C37="",0,-R37+AD37)</f>
        <v>310</v>
      </c>
      <c r="BR26" s="25"/>
      <c r="BS26" s="38"/>
      <c r="BT26" s="38"/>
      <c r="BU26" s="38">
        <f>IF($C37="",0,-X37+AD37)</f>
        <v>250</v>
      </c>
      <c r="BV26" s="25"/>
      <c r="BW26" s="25">
        <v>5</v>
      </c>
      <c r="BX26" s="25" t="str">
        <f>IF(nb&gt;=BW26,"Opt("&amp;BB10&amp;"-"&amp;BY18&amp;")","")</f>
        <v/>
      </c>
      <c r="BY26" s="35" t="str">
        <f t="shared" si="9"/>
        <v/>
      </c>
      <c r="BZ26" s="35">
        <f>MARR/100</f>
        <v>0.1</v>
      </c>
      <c r="CA26" s="25"/>
      <c r="CB26" s="33" t="b">
        <f>NOT(E24="")</f>
        <v>1</v>
      </c>
      <c r="CC26" s="34" t="b">
        <f>IF(E24="",TRUE,K24&gt;K23)</f>
        <v>1</v>
      </c>
    </row>
    <row r="27" spans="2:81">
      <c r="B27" s="94"/>
      <c r="C27" s="81"/>
      <c r="D27" s="109" t="s">
        <v>14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6"/>
      <c r="S27" s="81"/>
      <c r="T27" s="81"/>
      <c r="U27" s="81"/>
      <c r="V27" s="106"/>
      <c r="W27" s="106"/>
      <c r="X27" s="81"/>
      <c r="Y27" s="81"/>
      <c r="Z27" s="81"/>
      <c r="AA27" s="106"/>
      <c r="AB27" s="106"/>
      <c r="AC27" s="81"/>
      <c r="AD27" s="81"/>
      <c r="AE27" s="81"/>
      <c r="AF27" s="81"/>
      <c r="AG27" s="81"/>
      <c r="AH27" s="81"/>
      <c r="AI27" s="81"/>
      <c r="AJ27" s="81"/>
      <c r="AK27" s="96"/>
      <c r="AL27" s="1"/>
      <c r="AM27" s="1"/>
      <c r="AO27" s="24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>
        <v>4</v>
      </c>
      <c r="BA27" s="38">
        <f t="shared" si="10"/>
        <v>200</v>
      </c>
      <c r="BB27" s="38">
        <f t="shared" si="11"/>
        <v>270</v>
      </c>
      <c r="BC27" s="38">
        <f t="shared" si="12"/>
        <v>390</v>
      </c>
      <c r="BD27" s="38">
        <f t="shared" si="13"/>
        <v>450</v>
      </c>
      <c r="BE27" s="38">
        <f t="shared" si="14"/>
        <v>700</v>
      </c>
      <c r="BF27" s="38">
        <f t="shared" si="15"/>
        <v>70</v>
      </c>
      <c r="BG27" s="38">
        <f>IF($C38="",0,-F38+R38)</f>
        <v>190</v>
      </c>
      <c r="BH27" s="38">
        <f>IF($C38="",0,-F38+X38)</f>
        <v>250</v>
      </c>
      <c r="BI27" s="38">
        <f t="shared" si="16"/>
        <v>500</v>
      </c>
      <c r="BJ27" s="25"/>
      <c r="BK27" s="38">
        <f>IF($C38="",0,-L38+N38)</f>
        <v>-85.586367051430955</v>
      </c>
      <c r="BL27" s="38">
        <f>IF($C38="",0,-L38+X38)</f>
        <v>180</v>
      </c>
      <c r="BM27" s="38">
        <f>IF($C38="",0,-L38+AD38)</f>
        <v>430</v>
      </c>
      <c r="BN27" s="25"/>
      <c r="BO27" s="25"/>
      <c r="BP27" s="38">
        <f>IF($C38="",0,-R38+X38)</f>
        <v>60</v>
      </c>
      <c r="BQ27" s="38">
        <f>IF($C38="",0,-R38+AD38)</f>
        <v>310</v>
      </c>
      <c r="BR27" s="25"/>
      <c r="BS27" s="38"/>
      <c r="BT27" s="38"/>
      <c r="BU27" s="38">
        <f>IF($C38="",0,-X38+AD38)</f>
        <v>250</v>
      </c>
      <c r="BV27" s="25"/>
      <c r="BW27" s="25"/>
      <c r="BX27" s="25"/>
      <c r="BY27" s="25"/>
      <c r="BZ27" s="25"/>
      <c r="CA27" s="25"/>
      <c r="CB27" s="33"/>
      <c r="CC27" s="34" t="b">
        <f>AND(CC22:CC26)</f>
        <v>1</v>
      </c>
    </row>
    <row r="28" spans="2:81" ht="15.75">
      <c r="B28" s="94"/>
      <c r="C28" s="81"/>
      <c r="D28" s="86" t="str">
        <f>IF(AND(Control_1,Control_2),"The best option is "&amp;AV21&amp;" with the largest Net Present Value")</f>
        <v>The best option is Option 5 with the largest Net Present Value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106"/>
      <c r="S28" s="81"/>
      <c r="T28" s="81"/>
      <c r="U28" s="81"/>
      <c r="V28" s="106"/>
      <c r="W28" s="106"/>
      <c r="X28" s="81"/>
      <c r="Y28" s="81"/>
      <c r="Z28" s="81"/>
      <c r="AA28" s="106"/>
      <c r="AB28" s="106"/>
      <c r="AC28" s="81"/>
      <c r="AD28" s="81"/>
      <c r="AE28" s="81"/>
      <c r="AF28" s="81"/>
      <c r="AG28" s="81"/>
      <c r="AH28" s="81"/>
      <c r="AI28" s="81"/>
      <c r="AJ28" s="81"/>
      <c r="AK28" s="96"/>
      <c r="AL28" s="1"/>
      <c r="AM28" s="1"/>
      <c r="AO28" s="24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>
        <v>5</v>
      </c>
      <c r="BA28" s="38">
        <f t="shared" si="10"/>
        <v>200</v>
      </c>
      <c r="BB28" s="38">
        <f t="shared" si="11"/>
        <v>270</v>
      </c>
      <c r="BC28" s="38">
        <f t="shared" si="12"/>
        <v>390</v>
      </c>
      <c r="BD28" s="38">
        <f t="shared" si="13"/>
        <v>450</v>
      </c>
      <c r="BE28" s="38">
        <f t="shared" si="14"/>
        <v>700</v>
      </c>
      <c r="BF28" s="38">
        <f t="shared" si="15"/>
        <v>70</v>
      </c>
      <c r="BG28" s="38">
        <f>IF($C39="",0,-F39+R39)</f>
        <v>190</v>
      </c>
      <c r="BH28" s="38">
        <f>IF($C39="",0,-F39+X39)</f>
        <v>250</v>
      </c>
      <c r="BI28" s="38">
        <f t="shared" si="16"/>
        <v>500</v>
      </c>
      <c r="BJ28" s="25"/>
      <c r="BK28" s="38">
        <f>IF($C39="",0,-L39+N39)</f>
        <v>-102.35124277402818</v>
      </c>
      <c r="BL28" s="38">
        <f>IF($C39="",0,-L39+X39)</f>
        <v>180</v>
      </c>
      <c r="BM28" s="38">
        <f>IF($C39="",0,-L39+AD39)</f>
        <v>430</v>
      </c>
      <c r="BN28" s="25"/>
      <c r="BO28" s="25"/>
      <c r="BP28" s="38">
        <f>IF($C39="",0,-R39+X39)</f>
        <v>60</v>
      </c>
      <c r="BQ28" s="38">
        <f>IF($C39="",0,-R39+AD39)</f>
        <v>310</v>
      </c>
      <c r="BR28" s="25"/>
      <c r="BS28" s="38"/>
      <c r="BT28" s="38"/>
      <c r="BU28" s="38">
        <f>IF($C39="",0,-X39+AD39)</f>
        <v>250</v>
      </c>
      <c r="BV28" s="25"/>
      <c r="BW28" s="25"/>
      <c r="BX28" s="25"/>
      <c r="BY28" s="25"/>
      <c r="BZ28" s="25"/>
      <c r="CA28" s="25"/>
      <c r="CB28" s="33"/>
      <c r="CC28" s="34"/>
    </row>
    <row r="29" spans="2:81">
      <c r="B29" s="94"/>
      <c r="C29" s="81"/>
      <c r="D29" s="81"/>
      <c r="E29" s="81"/>
      <c r="F29" s="81"/>
      <c r="G29" s="81"/>
      <c r="H29" s="106"/>
      <c r="I29" s="81"/>
      <c r="J29" s="81"/>
      <c r="K29" s="81"/>
      <c r="L29" s="81"/>
      <c r="M29" s="106"/>
      <c r="N29" s="106"/>
      <c r="O29" s="81"/>
      <c r="P29" s="81"/>
      <c r="Q29" s="106"/>
      <c r="R29" s="106"/>
      <c r="S29" s="81"/>
      <c r="T29" s="81"/>
      <c r="U29" s="81"/>
      <c r="V29" s="106"/>
      <c r="W29" s="106"/>
      <c r="X29" s="81"/>
      <c r="Y29" s="81"/>
      <c r="Z29" s="81"/>
      <c r="AA29" s="106"/>
      <c r="AB29" s="106"/>
      <c r="AC29" s="81"/>
      <c r="AD29" s="81"/>
      <c r="AE29" s="81"/>
      <c r="AF29" s="81"/>
      <c r="AG29" s="81"/>
      <c r="AH29" s="81"/>
      <c r="AI29" s="81"/>
      <c r="AJ29" s="81"/>
      <c r="AK29" s="96"/>
      <c r="AL29" s="1"/>
      <c r="AM29" s="1"/>
      <c r="AO29" s="24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>
        <v>6</v>
      </c>
      <c r="BA29" s="38">
        <f t="shared" si="10"/>
        <v>200</v>
      </c>
      <c r="BB29" s="38">
        <f t="shared" si="11"/>
        <v>270</v>
      </c>
      <c r="BC29" s="38">
        <f t="shared" si="12"/>
        <v>390</v>
      </c>
      <c r="BD29" s="38">
        <f t="shared" si="13"/>
        <v>450</v>
      </c>
      <c r="BE29" s="38">
        <f t="shared" si="14"/>
        <v>700</v>
      </c>
      <c r="BF29" s="38">
        <f t="shared" si="15"/>
        <v>70</v>
      </c>
      <c r="BG29" s="38">
        <f>IF($C40="",0,-F40+R40)</f>
        <v>190</v>
      </c>
      <c r="BH29" s="38">
        <f>IF($C40="",0,-F40+X40)</f>
        <v>250</v>
      </c>
      <c r="BI29" s="38">
        <f t="shared" si="16"/>
        <v>500</v>
      </c>
      <c r="BJ29" s="25"/>
      <c r="BK29" s="38">
        <f>IF($C40="",0,-L40+N40)</f>
        <v>-117.59203888548018</v>
      </c>
      <c r="BL29" s="38">
        <f>IF($C40="",0,-L40+X40)</f>
        <v>180</v>
      </c>
      <c r="BM29" s="38">
        <f>IF($C40="",0,-L40+AD40)</f>
        <v>430</v>
      </c>
      <c r="BN29" s="25"/>
      <c r="BO29" s="25"/>
      <c r="BP29" s="38">
        <f>IF($C40="",0,-R40+X40)</f>
        <v>60</v>
      </c>
      <c r="BQ29" s="38">
        <f>IF($C40="",0,-R40+AD40)</f>
        <v>310</v>
      </c>
      <c r="BR29" s="25"/>
      <c r="BS29" s="38"/>
      <c r="BT29" s="38"/>
      <c r="BU29" s="38">
        <f>IF($C40="",0,-X40+AD40)</f>
        <v>250</v>
      </c>
      <c r="BV29" s="25"/>
      <c r="BW29" s="25"/>
      <c r="BX29" s="25"/>
      <c r="BY29" s="25"/>
      <c r="BZ29" s="25"/>
      <c r="CA29" s="25"/>
      <c r="CB29" s="33"/>
      <c r="CC29" s="34"/>
    </row>
    <row r="30" spans="2:81" ht="15.75" thickBot="1">
      <c r="B30" s="94"/>
      <c r="C30" s="81"/>
      <c r="D30" s="81"/>
      <c r="E30" s="81"/>
      <c r="F30" s="81"/>
      <c r="G30" s="81"/>
      <c r="H30" s="106"/>
      <c r="I30" s="81"/>
      <c r="J30" s="81"/>
      <c r="K30" s="81"/>
      <c r="L30" s="81"/>
      <c r="M30" s="106"/>
      <c r="N30" s="106"/>
      <c r="O30" s="81"/>
      <c r="P30" s="81"/>
      <c r="Q30" s="106"/>
      <c r="R30" s="106"/>
      <c r="S30" s="81"/>
      <c r="T30" s="81"/>
      <c r="U30" s="81"/>
      <c r="V30" s="106"/>
      <c r="W30" s="106"/>
      <c r="X30" s="81"/>
      <c r="Y30" s="81"/>
      <c r="Z30" s="81"/>
      <c r="AA30" s="106"/>
      <c r="AB30" s="106"/>
      <c r="AC30" s="81"/>
      <c r="AD30" s="81"/>
      <c r="AE30" s="81"/>
      <c r="AF30" s="81"/>
      <c r="AG30" s="81"/>
      <c r="AH30" s="81"/>
      <c r="AI30" s="81"/>
      <c r="AJ30" s="81"/>
      <c r="AK30" s="96"/>
      <c r="AL30" s="1"/>
      <c r="AM30" s="1"/>
      <c r="AO30" s="24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>
        <v>7</v>
      </c>
      <c r="BA30" s="38">
        <f t="shared" si="10"/>
        <v>200</v>
      </c>
      <c r="BB30" s="38">
        <f t="shared" si="11"/>
        <v>270</v>
      </c>
      <c r="BC30" s="38">
        <f t="shared" si="12"/>
        <v>390</v>
      </c>
      <c r="BD30" s="38">
        <f t="shared" si="13"/>
        <v>450</v>
      </c>
      <c r="BE30" s="38">
        <f t="shared" si="14"/>
        <v>700</v>
      </c>
      <c r="BF30" s="38">
        <f t="shared" si="15"/>
        <v>70</v>
      </c>
      <c r="BG30" s="38">
        <f>IF($C41="",0,-F41+R41)</f>
        <v>190</v>
      </c>
      <c r="BH30" s="38">
        <f>IF($C41="",0,-F41+X41)</f>
        <v>250</v>
      </c>
      <c r="BI30" s="38">
        <f t="shared" si="16"/>
        <v>500</v>
      </c>
      <c r="BJ30" s="25"/>
      <c r="BK30" s="38">
        <f>IF($C41="",0,-L41+N41)</f>
        <v>-131.44730807770927</v>
      </c>
      <c r="BL30" s="38">
        <f>IF($C41="",0,-L41+X41)</f>
        <v>180</v>
      </c>
      <c r="BM30" s="38">
        <f>IF($C41="",0,-L41+AD41)</f>
        <v>430</v>
      </c>
      <c r="BN30" s="25"/>
      <c r="BO30" s="25"/>
      <c r="BP30" s="38">
        <f>IF($C41="",0,-R41+X41)</f>
        <v>60</v>
      </c>
      <c r="BQ30" s="38">
        <f>IF($C41="",0,-R41+AD41)</f>
        <v>310</v>
      </c>
      <c r="BR30" s="25"/>
      <c r="BS30" s="38"/>
      <c r="BT30" s="38"/>
      <c r="BU30" s="38">
        <f>IF($C41="",0,-X41+AD41)</f>
        <v>250</v>
      </c>
      <c r="BV30" s="25"/>
      <c r="BW30" s="25"/>
      <c r="BX30" s="25"/>
      <c r="BY30" s="25"/>
      <c r="BZ30" s="25"/>
      <c r="CA30" s="25"/>
      <c r="CB30" s="33"/>
      <c r="CC30" s="34"/>
    </row>
    <row r="31" spans="2:81" ht="15.75" thickBot="1">
      <c r="B31" s="94"/>
      <c r="C31" s="81"/>
      <c r="D31" s="81"/>
      <c r="E31" s="81"/>
      <c r="F31" s="140" t="str">
        <f>IF(AND(Control_1,Control_2,CB22),"Option 1","")</f>
        <v>Option 1</v>
      </c>
      <c r="G31" s="141"/>
      <c r="H31" s="141"/>
      <c r="I31" s="141"/>
      <c r="J31" s="141"/>
      <c r="K31" s="142"/>
      <c r="L31" s="158" t="str">
        <f>IF(AND(Control_1,Control_2,CB23),"Option 2","")</f>
        <v>Option 2</v>
      </c>
      <c r="M31" s="159"/>
      <c r="N31" s="159"/>
      <c r="O31" s="159"/>
      <c r="P31" s="159"/>
      <c r="Q31" s="160"/>
      <c r="R31" s="176" t="str">
        <f>IF(AND(Control_1,Control_2,CB24),"Option 3","")</f>
        <v>Option 3</v>
      </c>
      <c r="S31" s="177"/>
      <c r="T31" s="177"/>
      <c r="U31" s="177"/>
      <c r="V31" s="177"/>
      <c r="W31" s="178"/>
      <c r="X31" s="194" t="str">
        <f>IF(AND(Control_1,Control_2,CB25),"Option 4","")</f>
        <v>Option 4</v>
      </c>
      <c r="Y31" s="195"/>
      <c r="Z31" s="195"/>
      <c r="AA31" s="195"/>
      <c r="AB31" s="195"/>
      <c r="AC31" s="196"/>
      <c r="AD31" s="212" t="str">
        <f>IF(AND(Control_1,Control_2,CB26),"Option 5","")</f>
        <v>Option 5</v>
      </c>
      <c r="AE31" s="213"/>
      <c r="AF31" s="213"/>
      <c r="AG31" s="213"/>
      <c r="AH31" s="213"/>
      <c r="AI31" s="214"/>
      <c r="AJ31" s="81"/>
      <c r="AK31" s="96"/>
      <c r="AL31" s="1"/>
      <c r="AM31" s="1"/>
      <c r="AO31" s="24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>
        <v>8</v>
      </c>
      <c r="BA31" s="38">
        <f t="shared" si="10"/>
        <v>200</v>
      </c>
      <c r="BB31" s="38">
        <f t="shared" si="11"/>
        <v>270</v>
      </c>
      <c r="BC31" s="38">
        <f t="shared" si="12"/>
        <v>390</v>
      </c>
      <c r="BD31" s="38">
        <f t="shared" si="13"/>
        <v>450</v>
      </c>
      <c r="BE31" s="38">
        <f t="shared" si="14"/>
        <v>700</v>
      </c>
      <c r="BF31" s="38">
        <f t="shared" si="15"/>
        <v>70</v>
      </c>
      <c r="BG31" s="38">
        <f>IF($C42="",0,-F42+R42)</f>
        <v>190</v>
      </c>
      <c r="BH31" s="38">
        <f>IF($C42="",0,-F42+X42)</f>
        <v>250</v>
      </c>
      <c r="BI31" s="38">
        <f t="shared" si="16"/>
        <v>500</v>
      </c>
      <c r="BJ31" s="25"/>
      <c r="BK31" s="38">
        <f>IF($C42="",0,-L42+N42)</f>
        <v>-144.04300734337207</v>
      </c>
      <c r="BL31" s="38">
        <f>IF($C42="",0,-L42+X42)</f>
        <v>180</v>
      </c>
      <c r="BM31" s="38">
        <f>IF($C42="",0,-L42+AD42)</f>
        <v>430</v>
      </c>
      <c r="BN31" s="25"/>
      <c r="BO31" s="25"/>
      <c r="BP31" s="38">
        <f>IF($C42="",0,-R42+X42)</f>
        <v>60</v>
      </c>
      <c r="BQ31" s="38">
        <f>IF($C42="",0,-R42+AD42)</f>
        <v>310</v>
      </c>
      <c r="BR31" s="25"/>
      <c r="BS31" s="38"/>
      <c r="BT31" s="38"/>
      <c r="BU31" s="38">
        <f>IF($C42="",0,-X42+AD42)</f>
        <v>250</v>
      </c>
      <c r="BV31" s="25"/>
      <c r="BW31" s="25"/>
      <c r="BX31" s="25"/>
      <c r="BY31" s="25"/>
      <c r="BZ31" s="25"/>
      <c r="CA31" s="25"/>
      <c r="CB31" s="33"/>
      <c r="CC31" s="34"/>
    </row>
    <row r="32" spans="2:81" ht="15" customHeight="1">
      <c r="B32" s="98"/>
      <c r="C32" s="4" t="s">
        <v>9</v>
      </c>
      <c r="D32" s="18" t="s">
        <v>10</v>
      </c>
      <c r="E32" s="18"/>
      <c r="F32" s="143" t="str">
        <f>IF(F31="","","Net Cash Flow")</f>
        <v>Net Cash Flow</v>
      </c>
      <c r="G32" s="144"/>
      <c r="H32" s="144" t="str">
        <f>IF(F31="","","PV of Cash Flow")</f>
        <v>PV of Cash Flow</v>
      </c>
      <c r="I32" s="144"/>
      <c r="J32" s="144" t="str">
        <f>IF(F31="","","Cum. Cash Flow")</f>
        <v>Cum. Cash Flow</v>
      </c>
      <c r="K32" s="145"/>
      <c r="L32" s="161" t="str">
        <f>IF(L31="","","Net Cash Flow")</f>
        <v>Net Cash Flow</v>
      </c>
      <c r="M32" s="162"/>
      <c r="N32" s="162" t="str">
        <f>IF(L31="","","PV of Cash Flow")</f>
        <v>PV of Cash Flow</v>
      </c>
      <c r="O32" s="162"/>
      <c r="P32" s="162" t="str">
        <f>IF(L31="","","Cum. Cash Flow")</f>
        <v>Cum. Cash Flow</v>
      </c>
      <c r="Q32" s="163"/>
      <c r="R32" s="179" t="str">
        <f>IF(R31="","","Net Cash Flow")</f>
        <v>Net Cash Flow</v>
      </c>
      <c r="S32" s="180"/>
      <c r="T32" s="180" t="str">
        <f>IF(R31="","","PV of Cash Flow")</f>
        <v>PV of Cash Flow</v>
      </c>
      <c r="U32" s="180"/>
      <c r="V32" s="180" t="str">
        <f>IF(R31="","","Cum. Cash Flow")</f>
        <v>Cum. Cash Flow</v>
      </c>
      <c r="W32" s="181"/>
      <c r="X32" s="197" t="str">
        <f>IF(X31="","","Net Cash Flow")</f>
        <v>Net Cash Flow</v>
      </c>
      <c r="Y32" s="198"/>
      <c r="Z32" s="198" t="str">
        <f>IF(X31="","","PV of Cash Flow")</f>
        <v>PV of Cash Flow</v>
      </c>
      <c r="AA32" s="198"/>
      <c r="AB32" s="198" t="str">
        <f>IF(X31="","","Cum. Cash Flow")</f>
        <v>Cum. Cash Flow</v>
      </c>
      <c r="AC32" s="199"/>
      <c r="AD32" s="215" t="str">
        <f>IF(AD31="","","Net Cash Flow")</f>
        <v>Net Cash Flow</v>
      </c>
      <c r="AE32" s="216"/>
      <c r="AF32" s="216" t="str">
        <f>IF(AD31="","","PV of Cash Flow")</f>
        <v>PV of Cash Flow</v>
      </c>
      <c r="AG32" s="216"/>
      <c r="AH32" s="216" t="str">
        <f>IF(AD31="","","Cum. Cash Flow")</f>
        <v>Cum. Cash Flow</v>
      </c>
      <c r="AI32" s="217"/>
      <c r="AJ32" s="104"/>
      <c r="AK32" s="105"/>
      <c r="AO32" s="24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>
        <v>9</v>
      </c>
      <c r="BA32" s="38">
        <f t="shared" si="10"/>
        <v>200</v>
      </c>
      <c r="BB32" s="38">
        <f t="shared" si="11"/>
        <v>220</v>
      </c>
      <c r="BC32" s="38">
        <f t="shared" si="12"/>
        <v>420</v>
      </c>
      <c r="BD32" s="38">
        <f t="shared" si="13"/>
        <v>0</v>
      </c>
      <c r="BE32" s="38">
        <f t="shared" si="14"/>
        <v>200</v>
      </c>
      <c r="BF32" s="38">
        <f t="shared" si="15"/>
        <v>20</v>
      </c>
      <c r="BG32" s="38">
        <f>IF($C43="",0,-F43+R43)</f>
        <v>220</v>
      </c>
      <c r="BH32" s="38">
        <f>IF($C43="",0,-F43+X43)</f>
        <v>-200</v>
      </c>
      <c r="BI32" s="38">
        <f t="shared" si="16"/>
        <v>0</v>
      </c>
      <c r="BJ32" s="25"/>
      <c r="BK32" s="38">
        <f>IF($C43="",0,-L43+N43)</f>
        <v>-117.36837635385872</v>
      </c>
      <c r="BL32" s="38">
        <f>IF($C43="",0,-L43+X43)</f>
        <v>-220</v>
      </c>
      <c r="BM32" s="38">
        <f>IF($C43="",0,-L43+AD43)</f>
        <v>-20</v>
      </c>
      <c r="BN32" s="25"/>
      <c r="BO32" s="25"/>
      <c r="BP32" s="38">
        <f>IF($C43="",0,-R43+X43)</f>
        <v>-420</v>
      </c>
      <c r="BQ32" s="38">
        <f>IF($C43="",0,-R43+AD43)</f>
        <v>-220</v>
      </c>
      <c r="BR32" s="25"/>
      <c r="BS32" s="38"/>
      <c r="BT32" s="38"/>
      <c r="BU32" s="38">
        <f>IF($C43="",0,-X43+AD43)</f>
        <v>200</v>
      </c>
      <c r="BV32" s="25"/>
      <c r="BW32" s="25"/>
      <c r="BX32" s="25"/>
      <c r="BY32" s="25"/>
      <c r="BZ32" s="25"/>
      <c r="CA32" s="25"/>
      <c r="CB32" s="33"/>
      <c r="CC32" s="34"/>
    </row>
    <row r="33" spans="2:81" ht="15.75" thickBot="1">
      <c r="B33" s="98"/>
      <c r="C33" s="5"/>
      <c r="D33" s="19"/>
      <c r="E33" s="19"/>
      <c r="F33" s="146"/>
      <c r="G33" s="147"/>
      <c r="H33" s="147"/>
      <c r="I33" s="147"/>
      <c r="J33" s="147"/>
      <c r="K33" s="148"/>
      <c r="L33" s="164"/>
      <c r="M33" s="165"/>
      <c r="N33" s="165"/>
      <c r="O33" s="165"/>
      <c r="P33" s="165"/>
      <c r="Q33" s="166"/>
      <c r="R33" s="182"/>
      <c r="S33" s="183"/>
      <c r="T33" s="183"/>
      <c r="U33" s="183"/>
      <c r="V33" s="183"/>
      <c r="W33" s="184"/>
      <c r="X33" s="200"/>
      <c r="Y33" s="201"/>
      <c r="Z33" s="201"/>
      <c r="AA33" s="201"/>
      <c r="AB33" s="201"/>
      <c r="AC33" s="202"/>
      <c r="AD33" s="218"/>
      <c r="AE33" s="219"/>
      <c r="AF33" s="219"/>
      <c r="AG33" s="219"/>
      <c r="AH33" s="219"/>
      <c r="AI33" s="220"/>
      <c r="AJ33" s="104"/>
      <c r="AK33" s="105"/>
      <c r="AO33" s="24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>
        <v>10</v>
      </c>
      <c r="BA33" s="38">
        <f t="shared" si="10"/>
        <v>0</v>
      </c>
      <c r="BB33" s="38">
        <f t="shared" si="11"/>
        <v>0</v>
      </c>
      <c r="BC33" s="38">
        <f t="shared" si="12"/>
        <v>0</v>
      </c>
      <c r="BD33" s="38">
        <f t="shared" si="13"/>
        <v>0</v>
      </c>
      <c r="BE33" s="38">
        <f t="shared" si="14"/>
        <v>0</v>
      </c>
      <c r="BF33" s="38">
        <f t="shared" si="15"/>
        <v>0</v>
      </c>
      <c r="BG33" s="38">
        <f>IF($C44="",0,-F44+R44)</f>
        <v>0</v>
      </c>
      <c r="BH33" s="38">
        <f>IF($C44="",0,-F44+X44)</f>
        <v>0</v>
      </c>
      <c r="BI33" s="38">
        <f t="shared" si="16"/>
        <v>0</v>
      </c>
      <c r="BJ33" s="25"/>
      <c r="BK33" s="38">
        <f>IF($C44="",0,-L44+N44)</f>
        <v>0</v>
      </c>
      <c r="BL33" s="38">
        <f>IF($C44="",0,-L44+X44)</f>
        <v>0</v>
      </c>
      <c r="BM33" s="38">
        <f>IF($C44="",0,-L44+AD44)</f>
        <v>0</v>
      </c>
      <c r="BN33" s="25"/>
      <c r="BO33" s="25"/>
      <c r="BP33" s="38">
        <f>IF($C44="",0,-R44+X44)</f>
        <v>0</v>
      </c>
      <c r="BQ33" s="38">
        <f>IF($C44="",0,-R44+AD44)</f>
        <v>0</v>
      </c>
      <c r="BR33" s="25"/>
      <c r="BS33" s="38"/>
      <c r="BT33" s="38"/>
      <c r="BU33" s="38">
        <f>IF($C44="",0,-X44+AD44)</f>
        <v>0</v>
      </c>
      <c r="BV33" s="25"/>
      <c r="BW33" s="25"/>
      <c r="BX33" s="25"/>
      <c r="BY33" s="25"/>
      <c r="BZ33" s="25"/>
      <c r="CA33" s="25"/>
      <c r="CB33" s="33"/>
      <c r="CC33" s="34"/>
    </row>
    <row r="34" spans="2:81">
      <c r="B34" s="99"/>
      <c r="C34" s="130">
        <f>IF(AND(Control_1,Control_2,Year&gt;=CB36),CB36,IF(CC36,CB36-1,""))</f>
        <v>0</v>
      </c>
      <c r="D34" s="131">
        <v>1</v>
      </c>
      <c r="E34" s="132"/>
      <c r="F34" s="149">
        <f>IF(F31="","",(-1)*K20)</f>
        <v>-1000</v>
      </c>
      <c r="G34" s="150"/>
      <c r="H34" s="150">
        <f>IF(F34="","",F34)</f>
        <v>-1000</v>
      </c>
      <c r="I34" s="150"/>
      <c r="J34" s="150">
        <f>IF(H34="","",H34)</f>
        <v>-1000</v>
      </c>
      <c r="K34" s="151"/>
      <c r="L34" s="167">
        <f>IF(L31="","",(-1)*K21)</f>
        <v>-1200</v>
      </c>
      <c r="M34" s="168"/>
      <c r="N34" s="168">
        <f>IF(L34="","",L34)</f>
        <v>-1200</v>
      </c>
      <c r="O34" s="168"/>
      <c r="P34" s="168">
        <f>IF(N34="","",N34)</f>
        <v>-1200</v>
      </c>
      <c r="Q34" s="169"/>
      <c r="R34" s="185">
        <f>IF(R31="","",(-1)*K22)</f>
        <v>-2000</v>
      </c>
      <c r="S34" s="186"/>
      <c r="T34" s="186">
        <f>IF(R34="","",R34)</f>
        <v>-2000</v>
      </c>
      <c r="U34" s="186"/>
      <c r="V34" s="186">
        <f>IF(T34="","",T34)</f>
        <v>-2000</v>
      </c>
      <c r="W34" s="187"/>
      <c r="X34" s="203">
        <f>IF(X31="","",(-1)*K23)</f>
        <v>-2500</v>
      </c>
      <c r="Y34" s="204"/>
      <c r="Z34" s="204">
        <f>IF(X34="","",X34)</f>
        <v>-2500</v>
      </c>
      <c r="AA34" s="204"/>
      <c r="AB34" s="204">
        <f>IF(Z34="","",Z34)</f>
        <v>-2500</v>
      </c>
      <c r="AC34" s="205"/>
      <c r="AD34" s="221">
        <f>IF(AD31="","",(-1)*K24)</f>
        <v>-3300</v>
      </c>
      <c r="AE34" s="222"/>
      <c r="AF34" s="222">
        <f>IF(AD34="","",AD34)</f>
        <v>-3300</v>
      </c>
      <c r="AG34" s="222"/>
      <c r="AH34" s="222">
        <f>IF(AF34="","",AF34)</f>
        <v>-3300</v>
      </c>
      <c r="AI34" s="223"/>
      <c r="AJ34" s="81"/>
      <c r="AK34" s="96"/>
      <c r="AL34" s="1"/>
      <c r="AO34" s="24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>
        <v>11</v>
      </c>
      <c r="BA34" s="38">
        <f t="shared" si="10"/>
        <v>0</v>
      </c>
      <c r="BB34" s="38">
        <f t="shared" si="11"/>
        <v>0</v>
      </c>
      <c r="BC34" s="38">
        <f t="shared" si="12"/>
        <v>0</v>
      </c>
      <c r="BD34" s="38">
        <f t="shared" si="13"/>
        <v>0</v>
      </c>
      <c r="BE34" s="38">
        <f t="shared" si="14"/>
        <v>0</v>
      </c>
      <c r="BF34" s="38">
        <f t="shared" si="15"/>
        <v>0</v>
      </c>
      <c r="BG34" s="38">
        <f>IF($C45="",0,-F45+R45)</f>
        <v>0</v>
      </c>
      <c r="BH34" s="38">
        <f>IF($C45="",0,-F45+X45)</f>
        <v>0</v>
      </c>
      <c r="BI34" s="38">
        <f t="shared" si="16"/>
        <v>0</v>
      </c>
      <c r="BJ34" s="25"/>
      <c r="BK34" s="38">
        <f>IF($C45="",0,-L45+N45)</f>
        <v>0</v>
      </c>
      <c r="BL34" s="38">
        <f>IF($C45="",0,-L45+X45)</f>
        <v>0</v>
      </c>
      <c r="BM34" s="38">
        <f>IF($C45="",0,-L45+AD45)</f>
        <v>0</v>
      </c>
      <c r="BN34" s="25"/>
      <c r="BO34" s="25"/>
      <c r="BP34" s="38">
        <f>IF($C45="",0,-R45+X45)</f>
        <v>0</v>
      </c>
      <c r="BQ34" s="38">
        <f>IF($C45="",0,-R45+AD45)</f>
        <v>0</v>
      </c>
      <c r="BR34" s="25"/>
      <c r="BS34" s="38"/>
      <c r="BT34" s="38"/>
      <c r="BU34" s="38">
        <f>IF($C45="",0,-X45+AD45)</f>
        <v>0</v>
      </c>
      <c r="BV34" s="25"/>
      <c r="BW34" s="25"/>
      <c r="BX34" s="25"/>
      <c r="BY34" s="25"/>
      <c r="BZ34" s="25"/>
      <c r="CA34" s="25"/>
      <c r="CB34" s="41"/>
      <c r="CC34" s="42"/>
    </row>
    <row r="35" spans="2:81">
      <c r="B35" s="99"/>
      <c r="C35" s="133">
        <f>IF(AND(Control_1,Control_2,Year&gt;=CB37),CB37,IF(CC37,CB37-1,""))</f>
        <v>1</v>
      </c>
      <c r="D35" s="134">
        <f>IF(AND(Control_1,Control_2,Year&gt;=CB37),D34/(1+Interest/100),IF(CC37,D34,""))</f>
        <v>0.90909090909090906</v>
      </c>
      <c r="E35" s="135"/>
      <c r="F35" s="152">
        <f>IF(OR(F$31="",$C35=""),"",IF($CC37,$W$20,$T$20))</f>
        <v>200</v>
      </c>
      <c r="G35" s="153"/>
      <c r="H35" s="153">
        <f>IF(F35="","",$D35*F35)</f>
        <v>181.81818181818181</v>
      </c>
      <c r="I35" s="153"/>
      <c r="J35" s="153">
        <f>IF(H35="","",H35+J34)</f>
        <v>-818.18181818181824</v>
      </c>
      <c r="K35" s="154"/>
      <c r="L35" s="170">
        <f>IF(OR(L$31="",$C35=""),"",IF($CC37,$W$21,$T$21))</f>
        <v>270</v>
      </c>
      <c r="M35" s="171"/>
      <c r="N35" s="171">
        <f>IF(L35="","",$D35*L35)</f>
        <v>245.45454545454544</v>
      </c>
      <c r="O35" s="171"/>
      <c r="P35" s="171">
        <f>IF(N35="","",N35+P34)</f>
        <v>-954.5454545454545</v>
      </c>
      <c r="Q35" s="172"/>
      <c r="R35" s="188">
        <f>IF(OR(R$31="",$C35=""),"",IF($CC37,$W$22,$T$22))</f>
        <v>390</v>
      </c>
      <c r="S35" s="189"/>
      <c r="T35" s="189">
        <f>IF(R35="","",$D35*R35)</f>
        <v>354.54545454545456</v>
      </c>
      <c r="U35" s="189"/>
      <c r="V35" s="189">
        <f>IF(T35="","",T35+V34)</f>
        <v>-1645.4545454545455</v>
      </c>
      <c r="W35" s="190"/>
      <c r="X35" s="206">
        <f>IF(OR(X$31="",$C35=""),"",IF($CC37,$W$23,$T$23))</f>
        <v>450</v>
      </c>
      <c r="Y35" s="207"/>
      <c r="Z35" s="207">
        <f>IF(X35="","",$D35*X35)</f>
        <v>409.09090909090907</v>
      </c>
      <c r="AA35" s="207"/>
      <c r="AB35" s="207">
        <f>IF(Z35="","",Z35+AB34)</f>
        <v>-2090.909090909091</v>
      </c>
      <c r="AC35" s="208"/>
      <c r="AD35" s="224">
        <f>IF(OR(AD$31="",$C35=""),"",IF($CC37,$W$24,$T$24))</f>
        <v>700</v>
      </c>
      <c r="AE35" s="225"/>
      <c r="AF35" s="225">
        <f>IF(AD35="","",$D35*AD35)</f>
        <v>636.36363636363637</v>
      </c>
      <c r="AG35" s="225"/>
      <c r="AH35" s="225">
        <f>IF(AF35="","",AF35+AH34)</f>
        <v>-2663.6363636363635</v>
      </c>
      <c r="AI35" s="226"/>
      <c r="AJ35" s="81"/>
      <c r="AK35" s="96"/>
      <c r="AL35" s="1"/>
      <c r="AO35" s="24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>
        <v>12</v>
      </c>
      <c r="BA35" s="38">
        <f t="shared" si="10"/>
        <v>0</v>
      </c>
      <c r="BB35" s="38">
        <f t="shared" si="11"/>
        <v>0</v>
      </c>
      <c r="BC35" s="38">
        <f t="shared" si="12"/>
        <v>0</v>
      </c>
      <c r="BD35" s="38">
        <f t="shared" si="13"/>
        <v>0</v>
      </c>
      <c r="BE35" s="38">
        <f t="shared" si="14"/>
        <v>0</v>
      </c>
      <c r="BF35" s="38">
        <f t="shared" si="15"/>
        <v>0</v>
      </c>
      <c r="BG35" s="38">
        <f>IF($C46="",0,-F46+R46)</f>
        <v>0</v>
      </c>
      <c r="BH35" s="38">
        <f>IF($C46="",0,-F46+X46)</f>
        <v>0</v>
      </c>
      <c r="BI35" s="38">
        <f t="shared" si="16"/>
        <v>0</v>
      </c>
      <c r="BJ35" s="25"/>
      <c r="BK35" s="38">
        <f>IF($C46="",0,-L46+N46)</f>
        <v>0</v>
      </c>
      <c r="BL35" s="38">
        <f>IF($C46="",0,-L46+X46)</f>
        <v>0</v>
      </c>
      <c r="BM35" s="38">
        <f>IF($C46="",0,-L46+AD46)</f>
        <v>0</v>
      </c>
      <c r="BN35" s="25"/>
      <c r="BO35" s="25"/>
      <c r="BP35" s="38">
        <f>IF($C46="",0,-R46+X46)</f>
        <v>0</v>
      </c>
      <c r="BQ35" s="38">
        <f>IF($C46="",0,-R46+AD46)</f>
        <v>0</v>
      </c>
      <c r="BR35" s="25"/>
      <c r="BS35" s="38"/>
      <c r="BT35" s="38"/>
      <c r="BU35" s="38">
        <f>IF($C46="",0,-X46+AD46)</f>
        <v>0</v>
      </c>
      <c r="BV35" s="25"/>
      <c r="BW35" s="25"/>
      <c r="BX35" s="25"/>
      <c r="BY35" s="25"/>
      <c r="BZ35" s="25"/>
      <c r="CA35" s="25"/>
      <c r="CB35" s="41"/>
      <c r="CC35" s="42"/>
    </row>
    <row r="36" spans="2:81">
      <c r="B36" s="99"/>
      <c r="C36" s="133">
        <f>IF(AND(Control_1,Control_2,Year&gt;=CB38),CB38,IF(CC38,CB38-1,""))</f>
        <v>2</v>
      </c>
      <c r="D36" s="134">
        <f>IF(AND(Control_1,Control_2,Year&gt;=CB38),D35/(1+Interest/100),IF(CC38,D35,""))</f>
        <v>0.82644628099173545</v>
      </c>
      <c r="E36" s="135"/>
      <c r="F36" s="152">
        <f>IF(OR(F$31="",$C36=""),"",IF($CC38,$W$20,$T$20))</f>
        <v>200</v>
      </c>
      <c r="G36" s="153"/>
      <c r="H36" s="153">
        <f t="shared" ref="H36:H54" si="17">IF(F36="","",$D36*F36)</f>
        <v>165.28925619834709</v>
      </c>
      <c r="I36" s="153"/>
      <c r="J36" s="153">
        <f t="shared" ref="J36:J54" si="18">IF(H36="","",H36+J35)</f>
        <v>-652.89256198347118</v>
      </c>
      <c r="K36" s="154"/>
      <c r="L36" s="170">
        <f>IF(OR(L$31="",$C36=""),"",IF($CC38,$W$21,$T$21))</f>
        <v>270</v>
      </c>
      <c r="M36" s="171"/>
      <c r="N36" s="171">
        <f t="shared" ref="N36:N54" si="19">IF(L36="","",$D36*L36)</f>
        <v>223.14049586776858</v>
      </c>
      <c r="O36" s="171"/>
      <c r="P36" s="171">
        <f t="shared" ref="P36:P54" si="20">IF(N36="","",N36+P35)</f>
        <v>-731.40495867768595</v>
      </c>
      <c r="Q36" s="172"/>
      <c r="R36" s="188">
        <f>IF(OR(R$31="",$C36=""),"",IF($CC38,$W$22,$T$22))</f>
        <v>390</v>
      </c>
      <c r="S36" s="189"/>
      <c r="T36" s="189">
        <f t="shared" ref="T36:T54" si="21">IF(R36="","",$D36*R36)</f>
        <v>322.31404958677683</v>
      </c>
      <c r="U36" s="189"/>
      <c r="V36" s="189">
        <f t="shared" ref="V36:V54" si="22">IF(T36="","",T36+V35)</f>
        <v>-1323.1404958677685</v>
      </c>
      <c r="W36" s="190"/>
      <c r="X36" s="206">
        <f>IF(OR(X$31="",$C36=""),"",IF($CC38,$W$23,$T$23))</f>
        <v>450</v>
      </c>
      <c r="Y36" s="207"/>
      <c r="Z36" s="207">
        <f t="shared" ref="Z36:Z54" si="23">IF(X36="","",$D36*X36)</f>
        <v>371.90082644628097</v>
      </c>
      <c r="AA36" s="207"/>
      <c r="AB36" s="207">
        <f t="shared" ref="AB36:AB54" si="24">IF(Z36="","",Z36+AB35)</f>
        <v>-1719.0082644628101</v>
      </c>
      <c r="AC36" s="208"/>
      <c r="AD36" s="224">
        <f>IF(OR(AD$31="",$C36=""),"",IF($CC38,$W$24,$T$24))</f>
        <v>700</v>
      </c>
      <c r="AE36" s="225"/>
      <c r="AF36" s="225">
        <f t="shared" ref="AF36:AF54" si="25">IF(AD36="","",$D36*AD36)</f>
        <v>578.51239669421477</v>
      </c>
      <c r="AG36" s="225"/>
      <c r="AH36" s="225">
        <f t="shared" ref="AH36:AH54" si="26">IF(AF36="","",AF36+AH35)</f>
        <v>-2085.1239669421489</v>
      </c>
      <c r="AI36" s="226"/>
      <c r="AJ36" s="81"/>
      <c r="AK36" s="96"/>
      <c r="AL36" s="1"/>
      <c r="AO36" s="24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>
        <v>13</v>
      </c>
      <c r="BA36" s="38">
        <f t="shared" si="10"/>
        <v>0</v>
      </c>
      <c r="BB36" s="38">
        <f t="shared" si="11"/>
        <v>0</v>
      </c>
      <c r="BC36" s="38">
        <f t="shared" si="12"/>
        <v>0</v>
      </c>
      <c r="BD36" s="38">
        <f t="shared" si="13"/>
        <v>0</v>
      </c>
      <c r="BE36" s="38">
        <f t="shared" si="14"/>
        <v>0</v>
      </c>
      <c r="BF36" s="38">
        <f t="shared" si="15"/>
        <v>0</v>
      </c>
      <c r="BG36" s="38">
        <f>IF($C47="",0,-F47+R47)</f>
        <v>0</v>
      </c>
      <c r="BH36" s="38">
        <f>IF($C47="",0,-F47+X47)</f>
        <v>0</v>
      </c>
      <c r="BI36" s="38">
        <f t="shared" si="16"/>
        <v>0</v>
      </c>
      <c r="BJ36" s="25"/>
      <c r="BK36" s="38">
        <f>IF($C47="",0,-L47+N47)</f>
        <v>0</v>
      </c>
      <c r="BL36" s="38">
        <f>IF($C47="",0,-L47+X47)</f>
        <v>0</v>
      </c>
      <c r="BM36" s="38">
        <f>IF($C47="",0,-L47+AD47)</f>
        <v>0</v>
      </c>
      <c r="BN36" s="25"/>
      <c r="BO36" s="25"/>
      <c r="BP36" s="38">
        <f>IF($C47="",0,-R47+X47)</f>
        <v>0</v>
      </c>
      <c r="BQ36" s="38">
        <f>IF($C47="",0,-R47+AD47)</f>
        <v>0</v>
      </c>
      <c r="BR36" s="25"/>
      <c r="BS36" s="38"/>
      <c r="BT36" s="38"/>
      <c r="BU36" s="38">
        <f>IF($C47="",0,-X47+AD47)</f>
        <v>0</v>
      </c>
      <c r="BV36" s="25"/>
      <c r="BW36" s="25"/>
      <c r="BX36" s="25"/>
      <c r="BY36" s="25"/>
      <c r="BZ36" s="25"/>
      <c r="CA36" s="25"/>
      <c r="CB36" s="43">
        <v>0</v>
      </c>
      <c r="CC36" s="44" t="b">
        <f t="shared" ref="CC36:CC56" si="27">Year=CB36-1</f>
        <v>0</v>
      </c>
    </row>
    <row r="37" spans="2:81">
      <c r="B37" s="99"/>
      <c r="C37" s="133">
        <f>IF(AND(Control_1,Control_2,Year&gt;=CB39),CB39,IF(CC39,CB39-1,""))</f>
        <v>3</v>
      </c>
      <c r="D37" s="134">
        <f>IF(AND(Control_1,Control_2,Year&gt;=CB39),D36/(1+Interest/100),IF(CC39,D36,""))</f>
        <v>0.75131480090157765</v>
      </c>
      <c r="E37" s="135"/>
      <c r="F37" s="152">
        <f>IF(OR(F$31="",$C37=""),"",IF($CC39,$W$20,$T$20))</f>
        <v>200</v>
      </c>
      <c r="G37" s="153"/>
      <c r="H37" s="153">
        <f t="shared" si="17"/>
        <v>150.26296018031553</v>
      </c>
      <c r="I37" s="153"/>
      <c r="J37" s="153">
        <f t="shared" si="18"/>
        <v>-502.62960180315565</v>
      </c>
      <c r="K37" s="154"/>
      <c r="L37" s="170">
        <f>IF(OR(L$31="",$C37=""),"",IF($CC39,$W$21,$T$21))</f>
        <v>270</v>
      </c>
      <c r="M37" s="171"/>
      <c r="N37" s="171">
        <f t="shared" si="19"/>
        <v>202.85499624342597</v>
      </c>
      <c r="O37" s="171"/>
      <c r="P37" s="171">
        <f t="shared" si="20"/>
        <v>-528.54996243426001</v>
      </c>
      <c r="Q37" s="172"/>
      <c r="R37" s="188">
        <f>IF(OR(R$31="",$C37=""),"",IF($CC39,$W$22,$T$22))</f>
        <v>390</v>
      </c>
      <c r="S37" s="189"/>
      <c r="T37" s="189">
        <f t="shared" si="21"/>
        <v>293.0127723516153</v>
      </c>
      <c r="U37" s="189"/>
      <c r="V37" s="189">
        <f t="shared" si="22"/>
        <v>-1030.1277235161533</v>
      </c>
      <c r="W37" s="190"/>
      <c r="X37" s="206">
        <f>IF(OR(X$31="",$C37=""),"",IF($CC39,$W$23,$T$23))</f>
        <v>450</v>
      </c>
      <c r="Y37" s="207"/>
      <c r="Z37" s="207">
        <f t="shared" si="23"/>
        <v>338.09166040570994</v>
      </c>
      <c r="AA37" s="207"/>
      <c r="AB37" s="207">
        <f t="shared" si="24"/>
        <v>-1380.9166040571001</v>
      </c>
      <c r="AC37" s="208"/>
      <c r="AD37" s="224">
        <f>IF(OR(AD$31="",$C37=""),"",IF($CC39,$W$24,$T$24))</f>
        <v>700</v>
      </c>
      <c r="AE37" s="225"/>
      <c r="AF37" s="225">
        <f t="shared" si="25"/>
        <v>525.92036063110436</v>
      </c>
      <c r="AG37" s="225"/>
      <c r="AH37" s="225">
        <f t="shared" si="26"/>
        <v>-1559.2036063110445</v>
      </c>
      <c r="AI37" s="226"/>
      <c r="AJ37" s="81"/>
      <c r="AK37" s="96"/>
      <c r="AL37" s="1"/>
      <c r="AO37" s="24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>
        <v>14</v>
      </c>
      <c r="BA37" s="38">
        <f t="shared" si="10"/>
        <v>0</v>
      </c>
      <c r="BB37" s="38">
        <f t="shared" si="11"/>
        <v>0</v>
      </c>
      <c r="BC37" s="38">
        <f t="shared" si="12"/>
        <v>0</v>
      </c>
      <c r="BD37" s="38">
        <f t="shared" si="13"/>
        <v>0</v>
      </c>
      <c r="BE37" s="38">
        <f t="shared" si="14"/>
        <v>0</v>
      </c>
      <c r="BF37" s="38">
        <f t="shared" si="15"/>
        <v>0</v>
      </c>
      <c r="BG37" s="38">
        <f>IF($C48="",0,-F48+R48)</f>
        <v>0</v>
      </c>
      <c r="BH37" s="38">
        <f>IF($C48="",0,-F48+X48)</f>
        <v>0</v>
      </c>
      <c r="BI37" s="38">
        <f t="shared" si="16"/>
        <v>0</v>
      </c>
      <c r="BJ37" s="25"/>
      <c r="BK37" s="38">
        <f>IF($C48="",0,-L48+N48)</f>
        <v>0</v>
      </c>
      <c r="BL37" s="38">
        <f>IF($C48="",0,-L48+X48)</f>
        <v>0</v>
      </c>
      <c r="BM37" s="38">
        <f>IF($C48="",0,-L48+AD48)</f>
        <v>0</v>
      </c>
      <c r="BN37" s="25"/>
      <c r="BO37" s="25"/>
      <c r="BP37" s="38">
        <f>IF($C48="",0,-R48+X48)</f>
        <v>0</v>
      </c>
      <c r="BQ37" s="38">
        <f>IF($C48="",0,-R48+AD48)</f>
        <v>0</v>
      </c>
      <c r="BR37" s="25"/>
      <c r="BS37" s="38"/>
      <c r="BT37" s="38"/>
      <c r="BU37" s="38">
        <f>IF($C48="",0,-X48+AD48)</f>
        <v>0</v>
      </c>
      <c r="BV37" s="25"/>
      <c r="BW37" s="25"/>
      <c r="BX37" s="25"/>
      <c r="BY37" s="25"/>
      <c r="BZ37" s="25"/>
      <c r="CA37" s="25"/>
      <c r="CB37" s="43">
        <v>1</v>
      </c>
      <c r="CC37" s="44" t="b">
        <f t="shared" si="27"/>
        <v>0</v>
      </c>
    </row>
    <row r="38" spans="2:81">
      <c r="B38" s="99"/>
      <c r="C38" s="133">
        <f>IF(AND(Control_1,Control_2,Year&gt;=CB40),CB40,IF(CC40,CB40-1,""))</f>
        <v>4</v>
      </c>
      <c r="D38" s="134">
        <f>IF(AND(Control_1,Control_2,Year&gt;=CB40),D37/(1+Interest/100),IF(CC40,D37,""))</f>
        <v>0.68301345536507052</v>
      </c>
      <c r="E38" s="135"/>
      <c r="F38" s="152">
        <f>IF(OR(F$31="",$C38=""),"",IF($CC40,$W$20,$T$20))</f>
        <v>200</v>
      </c>
      <c r="G38" s="153"/>
      <c r="H38" s="153">
        <f t="shared" si="17"/>
        <v>136.60269107301411</v>
      </c>
      <c r="I38" s="153"/>
      <c r="J38" s="153">
        <f t="shared" si="18"/>
        <v>-366.02691073014154</v>
      </c>
      <c r="K38" s="154"/>
      <c r="L38" s="170">
        <f>IF(OR(L$31="",$C38=""),"",IF($CC40,$W$21,$T$21))</f>
        <v>270</v>
      </c>
      <c r="M38" s="171"/>
      <c r="N38" s="171">
        <f t="shared" si="19"/>
        <v>184.41363294856905</v>
      </c>
      <c r="O38" s="171"/>
      <c r="P38" s="171">
        <f t="shared" si="20"/>
        <v>-344.13632948569096</v>
      </c>
      <c r="Q38" s="172"/>
      <c r="R38" s="188">
        <f>IF(OR(R$31="",$C38=""),"",IF($CC40,$W$22,$T$22))</f>
        <v>390</v>
      </c>
      <c r="S38" s="189"/>
      <c r="T38" s="189">
        <f t="shared" si="21"/>
        <v>266.37524759237749</v>
      </c>
      <c r="U38" s="189"/>
      <c r="V38" s="189">
        <f t="shared" si="22"/>
        <v>-763.75247592377582</v>
      </c>
      <c r="W38" s="190"/>
      <c r="X38" s="206">
        <f>IF(OR(X$31="",$C38=""),"",IF($CC40,$W$23,$T$23))</f>
        <v>450</v>
      </c>
      <c r="Y38" s="207"/>
      <c r="Z38" s="207">
        <f t="shared" si="23"/>
        <v>307.35605491428174</v>
      </c>
      <c r="AA38" s="207"/>
      <c r="AB38" s="207">
        <f t="shared" si="24"/>
        <v>-1073.5605491428184</v>
      </c>
      <c r="AC38" s="208"/>
      <c r="AD38" s="224">
        <f>IF(OR(AD$31="",$C38=""),"",IF($CC40,$W$24,$T$24))</f>
        <v>700</v>
      </c>
      <c r="AE38" s="225"/>
      <c r="AF38" s="225">
        <f t="shared" si="25"/>
        <v>478.10941875554937</v>
      </c>
      <c r="AG38" s="225"/>
      <c r="AH38" s="225">
        <f t="shared" si="26"/>
        <v>-1081.0941875554952</v>
      </c>
      <c r="AI38" s="226"/>
      <c r="AJ38" s="81"/>
      <c r="AK38" s="96"/>
      <c r="AL38" s="1"/>
      <c r="AO38" s="24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>
        <v>15</v>
      </c>
      <c r="BA38" s="38">
        <f t="shared" si="10"/>
        <v>0</v>
      </c>
      <c r="BB38" s="38">
        <f t="shared" si="11"/>
        <v>0</v>
      </c>
      <c r="BC38" s="38">
        <f t="shared" si="12"/>
        <v>0</v>
      </c>
      <c r="BD38" s="38">
        <f t="shared" si="13"/>
        <v>0</v>
      </c>
      <c r="BE38" s="38">
        <f t="shared" si="14"/>
        <v>0</v>
      </c>
      <c r="BF38" s="38">
        <f t="shared" si="15"/>
        <v>0</v>
      </c>
      <c r="BG38" s="38">
        <f>IF($C49="",0,-F49+R49)</f>
        <v>0</v>
      </c>
      <c r="BH38" s="38">
        <f>IF($C49="",0,-F49+X49)</f>
        <v>0</v>
      </c>
      <c r="BI38" s="38">
        <f t="shared" si="16"/>
        <v>0</v>
      </c>
      <c r="BJ38" s="25"/>
      <c r="BK38" s="38">
        <f>IF($C49="",0,-L49+N49)</f>
        <v>0</v>
      </c>
      <c r="BL38" s="38">
        <f>IF($C49="",0,-L49+X49)</f>
        <v>0</v>
      </c>
      <c r="BM38" s="38">
        <f>IF($C49="",0,-L49+AD49)</f>
        <v>0</v>
      </c>
      <c r="BN38" s="25"/>
      <c r="BO38" s="25"/>
      <c r="BP38" s="38">
        <f>IF($C49="",0,-R49+X49)</f>
        <v>0</v>
      </c>
      <c r="BQ38" s="38">
        <f>IF($C49="",0,-R49+AD49)</f>
        <v>0</v>
      </c>
      <c r="BR38" s="25"/>
      <c r="BS38" s="38"/>
      <c r="BT38" s="38"/>
      <c r="BU38" s="38">
        <f>IF($C49="",0,-X49+AD49)</f>
        <v>0</v>
      </c>
      <c r="BV38" s="25"/>
      <c r="BW38" s="25"/>
      <c r="BX38" s="25"/>
      <c r="BY38" s="25"/>
      <c r="BZ38" s="25"/>
      <c r="CA38" s="25"/>
      <c r="CB38" s="43">
        <v>2</v>
      </c>
      <c r="CC38" s="44" t="b">
        <f t="shared" si="27"/>
        <v>0</v>
      </c>
    </row>
    <row r="39" spans="2:81">
      <c r="B39" s="99"/>
      <c r="C39" s="133">
        <f>IF(AND(Control_1,Control_2,Year&gt;=CB41),CB41,IF(CC41,CB41-1,""))</f>
        <v>5</v>
      </c>
      <c r="D39" s="134">
        <f>IF(AND(Control_1,Control_2,Year&gt;=CB41),D38/(1+Interest/100),IF(CC41,D38,""))</f>
        <v>0.62092132305915493</v>
      </c>
      <c r="E39" s="135"/>
      <c r="F39" s="152">
        <f>IF(OR(F$31="",$C39=""),"",IF($CC41,$W$20,$T$20))</f>
        <v>200</v>
      </c>
      <c r="G39" s="153"/>
      <c r="H39" s="153">
        <f t="shared" si="17"/>
        <v>124.18426461183098</v>
      </c>
      <c r="I39" s="153"/>
      <c r="J39" s="153">
        <f t="shared" si="18"/>
        <v>-241.84264611831054</v>
      </c>
      <c r="K39" s="154"/>
      <c r="L39" s="170">
        <f>IF(OR(L$31="",$C39=""),"",IF($CC41,$W$21,$T$21))</f>
        <v>270</v>
      </c>
      <c r="M39" s="171"/>
      <c r="N39" s="171">
        <f t="shared" si="19"/>
        <v>167.64875722597182</v>
      </c>
      <c r="O39" s="171"/>
      <c r="P39" s="171">
        <f t="shared" si="20"/>
        <v>-176.48757225971914</v>
      </c>
      <c r="Q39" s="172"/>
      <c r="R39" s="188">
        <f>IF(OR(R$31="",$C39=""),"",IF($CC41,$W$22,$T$22))</f>
        <v>390</v>
      </c>
      <c r="S39" s="189"/>
      <c r="T39" s="189">
        <f t="shared" si="21"/>
        <v>242.15931599307044</v>
      </c>
      <c r="U39" s="189"/>
      <c r="V39" s="189">
        <f t="shared" si="22"/>
        <v>-521.59315993070538</v>
      </c>
      <c r="W39" s="190"/>
      <c r="X39" s="206">
        <f>IF(OR(X$31="",$C39=""),"",IF($CC41,$W$23,$T$23))</f>
        <v>450</v>
      </c>
      <c r="Y39" s="207"/>
      <c r="Z39" s="207">
        <f t="shared" si="23"/>
        <v>279.41459537661973</v>
      </c>
      <c r="AA39" s="207"/>
      <c r="AB39" s="207">
        <f t="shared" si="24"/>
        <v>-794.14595376619877</v>
      </c>
      <c r="AC39" s="208"/>
      <c r="AD39" s="224">
        <f>IF(OR(AD$31="",$C39=""),"",IF($CC41,$W$24,$T$24))</f>
        <v>700</v>
      </c>
      <c r="AE39" s="225"/>
      <c r="AF39" s="225">
        <f t="shared" si="25"/>
        <v>434.64492614140846</v>
      </c>
      <c r="AG39" s="225"/>
      <c r="AH39" s="225">
        <f t="shared" si="26"/>
        <v>-646.44926141408678</v>
      </c>
      <c r="AI39" s="226"/>
      <c r="AJ39" s="81"/>
      <c r="AK39" s="96"/>
      <c r="AL39" s="1"/>
      <c r="AO39" s="24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>
        <v>16</v>
      </c>
      <c r="BA39" s="38">
        <f t="shared" si="10"/>
        <v>0</v>
      </c>
      <c r="BB39" s="38">
        <f t="shared" si="11"/>
        <v>0</v>
      </c>
      <c r="BC39" s="38">
        <f t="shared" si="12"/>
        <v>0</v>
      </c>
      <c r="BD39" s="38">
        <f t="shared" si="13"/>
        <v>0</v>
      </c>
      <c r="BE39" s="38">
        <f t="shared" si="14"/>
        <v>0</v>
      </c>
      <c r="BF39" s="38">
        <f t="shared" si="15"/>
        <v>0</v>
      </c>
      <c r="BG39" s="38">
        <f>IF($C50="",0,-F50+R50)</f>
        <v>0</v>
      </c>
      <c r="BH39" s="38">
        <f>IF($C50="",0,-F50+X50)</f>
        <v>0</v>
      </c>
      <c r="BI39" s="38">
        <f t="shared" si="16"/>
        <v>0</v>
      </c>
      <c r="BJ39" s="25"/>
      <c r="BK39" s="38">
        <f>IF($C50="",0,-L50+N50)</f>
        <v>0</v>
      </c>
      <c r="BL39" s="38">
        <f>IF($C50="",0,-L50+X50)</f>
        <v>0</v>
      </c>
      <c r="BM39" s="38">
        <f>IF($C50="",0,-L50+AD50)</f>
        <v>0</v>
      </c>
      <c r="BN39" s="25"/>
      <c r="BO39" s="25"/>
      <c r="BP39" s="38">
        <f>IF($C50="",0,-R50+X50)</f>
        <v>0</v>
      </c>
      <c r="BQ39" s="38">
        <f>IF($C50="",0,-R50+AD50)</f>
        <v>0</v>
      </c>
      <c r="BR39" s="25"/>
      <c r="BS39" s="38"/>
      <c r="BT39" s="38"/>
      <c r="BU39" s="38">
        <f>IF($C50="",0,-X50+AD50)</f>
        <v>0</v>
      </c>
      <c r="BV39" s="25"/>
      <c r="BW39" s="25"/>
      <c r="BX39" s="25"/>
      <c r="BY39" s="25"/>
      <c r="BZ39" s="25"/>
      <c r="CA39" s="25"/>
      <c r="CB39" s="43">
        <v>3</v>
      </c>
      <c r="CC39" s="44" t="b">
        <f t="shared" si="27"/>
        <v>0</v>
      </c>
    </row>
    <row r="40" spans="2:81">
      <c r="B40" s="99"/>
      <c r="C40" s="133">
        <f>IF(AND(Control_1,Control_2,Year&gt;=CB42),CB42,IF(CC42,CB42-1,""))</f>
        <v>6</v>
      </c>
      <c r="D40" s="134">
        <f>IF(AND(Control_1,Control_2,Year&gt;=CB42),D39/(1+Interest/100),IF(CC42,D39,""))</f>
        <v>0.56447393005377711</v>
      </c>
      <c r="E40" s="135"/>
      <c r="F40" s="152">
        <f>IF(OR(F$31="",$C40=""),"",IF($CC42,$W$20,$T$20))</f>
        <v>200</v>
      </c>
      <c r="G40" s="153"/>
      <c r="H40" s="153">
        <f t="shared" si="17"/>
        <v>112.89478601075542</v>
      </c>
      <c r="I40" s="153"/>
      <c r="J40" s="153">
        <f t="shared" si="18"/>
        <v>-128.94786010755513</v>
      </c>
      <c r="K40" s="154"/>
      <c r="L40" s="170">
        <f>IF(OR(L$31="",$C40=""),"",IF($CC42,$W$21,$T$21))</f>
        <v>270</v>
      </c>
      <c r="M40" s="171"/>
      <c r="N40" s="171">
        <f t="shared" si="19"/>
        <v>152.40796111451982</v>
      </c>
      <c r="O40" s="171"/>
      <c r="P40" s="171">
        <f t="shared" si="20"/>
        <v>-24.079611145199323</v>
      </c>
      <c r="Q40" s="172"/>
      <c r="R40" s="188">
        <f>IF(OR(R$31="",$C40=""),"",IF($CC42,$W$22,$T$22))</f>
        <v>390</v>
      </c>
      <c r="S40" s="189"/>
      <c r="T40" s="189">
        <f t="shared" si="21"/>
        <v>220.14483272097308</v>
      </c>
      <c r="U40" s="189"/>
      <c r="V40" s="189">
        <f t="shared" si="22"/>
        <v>-301.44832720973227</v>
      </c>
      <c r="W40" s="190"/>
      <c r="X40" s="206">
        <f>IF(OR(X$31="",$C40=""),"",IF($CC42,$W$23,$T$23))</f>
        <v>450</v>
      </c>
      <c r="Y40" s="207"/>
      <c r="Z40" s="207">
        <f t="shared" si="23"/>
        <v>254.0132685241997</v>
      </c>
      <c r="AA40" s="207"/>
      <c r="AB40" s="207">
        <f t="shared" si="24"/>
        <v>-540.13268524199907</v>
      </c>
      <c r="AC40" s="208"/>
      <c r="AD40" s="224">
        <f>IF(OR(AD$31="",$C40=""),"",IF($CC42,$W$24,$T$24))</f>
        <v>700</v>
      </c>
      <c r="AE40" s="225"/>
      <c r="AF40" s="225">
        <f t="shared" si="25"/>
        <v>395.13175103764399</v>
      </c>
      <c r="AG40" s="225"/>
      <c r="AH40" s="225">
        <f t="shared" si="26"/>
        <v>-251.31751037644278</v>
      </c>
      <c r="AI40" s="226"/>
      <c r="AJ40" s="81"/>
      <c r="AK40" s="96"/>
      <c r="AL40" s="1"/>
      <c r="AO40" s="24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>
        <v>17</v>
      </c>
      <c r="BA40" s="38">
        <f t="shared" si="10"/>
        <v>0</v>
      </c>
      <c r="BB40" s="38">
        <f t="shared" si="11"/>
        <v>0</v>
      </c>
      <c r="BC40" s="38">
        <f t="shared" si="12"/>
        <v>0</v>
      </c>
      <c r="BD40" s="38">
        <f t="shared" si="13"/>
        <v>0</v>
      </c>
      <c r="BE40" s="38">
        <f t="shared" si="14"/>
        <v>0</v>
      </c>
      <c r="BF40" s="38">
        <f t="shared" si="15"/>
        <v>0</v>
      </c>
      <c r="BG40" s="38">
        <f>IF($C51="",0,-F51+R51)</f>
        <v>0</v>
      </c>
      <c r="BH40" s="38">
        <f>IF($C51="",0,-F51+X51)</f>
        <v>0</v>
      </c>
      <c r="BI40" s="38">
        <f t="shared" si="16"/>
        <v>0</v>
      </c>
      <c r="BJ40" s="25"/>
      <c r="BK40" s="38">
        <f>IF($C51="",0,-L51+N51)</f>
        <v>0</v>
      </c>
      <c r="BL40" s="38">
        <f>IF($C51="",0,-L51+X51)</f>
        <v>0</v>
      </c>
      <c r="BM40" s="38">
        <f>IF($C51="",0,-L51+AD51)</f>
        <v>0</v>
      </c>
      <c r="BN40" s="25"/>
      <c r="BO40" s="25"/>
      <c r="BP40" s="38">
        <f>IF($C51="",0,-R51+X51)</f>
        <v>0</v>
      </c>
      <c r="BQ40" s="38">
        <f>IF($C51="",0,-R51+AD51)</f>
        <v>0</v>
      </c>
      <c r="BR40" s="25"/>
      <c r="BS40" s="38"/>
      <c r="BT40" s="38"/>
      <c r="BU40" s="38">
        <f>IF($C51="",0,-X51+AD51)</f>
        <v>0</v>
      </c>
      <c r="BV40" s="25"/>
      <c r="BW40" s="25"/>
      <c r="BX40" s="25"/>
      <c r="BY40" s="25"/>
      <c r="BZ40" s="25"/>
      <c r="CA40" s="25"/>
      <c r="CB40" s="43">
        <v>4</v>
      </c>
      <c r="CC40" s="44" t="b">
        <f t="shared" si="27"/>
        <v>0</v>
      </c>
    </row>
    <row r="41" spans="2:81">
      <c r="B41" s="99"/>
      <c r="C41" s="133">
        <f>IF(AND(Control_1,Control_2,Year&gt;=CB43),CB43,IF(CC43,CB43-1,""))</f>
        <v>7</v>
      </c>
      <c r="D41" s="134">
        <f>IF(AND(Control_1,Control_2,Year&gt;=CB43),D40/(1+Interest/100),IF(CC43,D40,""))</f>
        <v>0.51315811823070645</v>
      </c>
      <c r="E41" s="135"/>
      <c r="F41" s="152">
        <f>IF(OR(F$31="",$C41=""),"",IF($CC43,$W$20,$T$20))</f>
        <v>200</v>
      </c>
      <c r="G41" s="153"/>
      <c r="H41" s="153">
        <f t="shared" si="17"/>
        <v>102.63162364614129</v>
      </c>
      <c r="I41" s="153"/>
      <c r="J41" s="153">
        <f t="shared" si="18"/>
        <v>-26.316236461413837</v>
      </c>
      <c r="K41" s="154"/>
      <c r="L41" s="170">
        <f>IF(OR(L$31="",$C41=""),"",IF($CC43,$W$21,$T$21))</f>
        <v>270</v>
      </c>
      <c r="M41" s="171"/>
      <c r="N41" s="171">
        <f t="shared" si="19"/>
        <v>138.55269192229073</v>
      </c>
      <c r="O41" s="171"/>
      <c r="P41" s="171">
        <f t="shared" si="20"/>
        <v>114.47308077709141</v>
      </c>
      <c r="Q41" s="172"/>
      <c r="R41" s="188">
        <f>IF(OR(R$31="",$C41=""),"",IF($CC43,$W$22,$T$22))</f>
        <v>390</v>
      </c>
      <c r="S41" s="189"/>
      <c r="T41" s="189">
        <f t="shared" si="21"/>
        <v>200.13166610997553</v>
      </c>
      <c r="U41" s="189"/>
      <c r="V41" s="189">
        <f t="shared" si="22"/>
        <v>-101.31666109975674</v>
      </c>
      <c r="W41" s="190"/>
      <c r="X41" s="206">
        <f>IF(OR(X$31="",$C41=""),"",IF($CC43,$W$23,$T$23))</f>
        <v>450</v>
      </c>
      <c r="Y41" s="207"/>
      <c r="Z41" s="207">
        <f t="shared" si="23"/>
        <v>230.92115320381791</v>
      </c>
      <c r="AA41" s="207"/>
      <c r="AB41" s="207">
        <f t="shared" si="24"/>
        <v>-309.21153203818119</v>
      </c>
      <c r="AC41" s="208"/>
      <c r="AD41" s="224">
        <f>IF(OR(AD$31="",$C41=""),"",IF($CC43,$W$24,$T$24))</f>
        <v>700</v>
      </c>
      <c r="AE41" s="225"/>
      <c r="AF41" s="225">
        <f t="shared" si="25"/>
        <v>359.21068276149452</v>
      </c>
      <c r="AG41" s="225"/>
      <c r="AH41" s="225">
        <f t="shared" si="26"/>
        <v>107.89317238505174</v>
      </c>
      <c r="AI41" s="226"/>
      <c r="AJ41" s="81"/>
      <c r="AK41" s="96"/>
      <c r="AL41" s="1"/>
      <c r="AO41" s="24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>
        <v>18</v>
      </c>
      <c r="BA41" s="38">
        <f t="shared" si="10"/>
        <v>0</v>
      </c>
      <c r="BB41" s="38">
        <f t="shared" si="11"/>
        <v>0</v>
      </c>
      <c r="BC41" s="38">
        <f t="shared" si="12"/>
        <v>0</v>
      </c>
      <c r="BD41" s="38">
        <f t="shared" si="13"/>
        <v>0</v>
      </c>
      <c r="BE41" s="38">
        <f t="shared" si="14"/>
        <v>0</v>
      </c>
      <c r="BF41" s="38">
        <f t="shared" si="15"/>
        <v>0</v>
      </c>
      <c r="BG41" s="38">
        <f>IF($C52="",0,-F52+R52)</f>
        <v>0</v>
      </c>
      <c r="BH41" s="38">
        <f>IF($C52="",0,-F52+X52)</f>
        <v>0</v>
      </c>
      <c r="BI41" s="38">
        <f t="shared" si="16"/>
        <v>0</v>
      </c>
      <c r="BJ41" s="25"/>
      <c r="BK41" s="38">
        <f>IF($C52="",0,-L52+N52)</f>
        <v>0</v>
      </c>
      <c r="BL41" s="38">
        <f>IF($C52="",0,-L52+X52)</f>
        <v>0</v>
      </c>
      <c r="BM41" s="38">
        <f>IF($C52="",0,-L52+AD52)</f>
        <v>0</v>
      </c>
      <c r="BN41" s="25"/>
      <c r="BO41" s="25"/>
      <c r="BP41" s="38">
        <f>IF($C52="",0,-R52+X52)</f>
        <v>0</v>
      </c>
      <c r="BQ41" s="38">
        <f>IF($C52="",0,-R52+AD52)</f>
        <v>0</v>
      </c>
      <c r="BR41" s="25"/>
      <c r="BS41" s="38"/>
      <c r="BT41" s="38"/>
      <c r="BU41" s="38">
        <f>IF($C52="",0,-X52+AD52)</f>
        <v>0</v>
      </c>
      <c r="BV41" s="25"/>
      <c r="BW41" s="25"/>
      <c r="BX41" s="25"/>
      <c r="BY41" s="25"/>
      <c r="BZ41" s="25"/>
      <c r="CA41" s="25"/>
      <c r="CB41" s="43">
        <v>5</v>
      </c>
      <c r="CC41" s="44" t="b">
        <f t="shared" si="27"/>
        <v>0</v>
      </c>
    </row>
    <row r="42" spans="2:81">
      <c r="B42" s="99"/>
      <c r="C42" s="133">
        <f>IF(AND(Control_1,Control_2,Year&gt;=CB44),CB44,IF(CC44,CB44-1,""))</f>
        <v>8</v>
      </c>
      <c r="D42" s="134">
        <f>IF(AND(Control_1,Control_2,Year&gt;=CB44),D41/(1+Interest/100),IF(CC44,D41,""))</f>
        <v>0.46650738020973309</v>
      </c>
      <c r="E42" s="135"/>
      <c r="F42" s="152">
        <f>IF(OR(F$31="",$C42=""),"",IF($CC44,$W$20,$T$20))</f>
        <v>200</v>
      </c>
      <c r="G42" s="153"/>
      <c r="H42" s="153">
        <f t="shared" si="17"/>
        <v>93.301476041946614</v>
      </c>
      <c r="I42" s="153"/>
      <c r="J42" s="153">
        <f t="shared" si="18"/>
        <v>66.985239580532777</v>
      </c>
      <c r="K42" s="154"/>
      <c r="L42" s="170">
        <f>IF(OR(L$31="",$C42=""),"",IF($CC44,$W$21,$T$21))</f>
        <v>270</v>
      </c>
      <c r="M42" s="171"/>
      <c r="N42" s="171">
        <f t="shared" si="19"/>
        <v>125.95699265662793</v>
      </c>
      <c r="O42" s="171"/>
      <c r="P42" s="171">
        <f t="shared" si="20"/>
        <v>240.43007343371934</v>
      </c>
      <c r="Q42" s="172"/>
      <c r="R42" s="188">
        <f>IF(OR(R$31="",$C42=""),"",IF($CC44,$W$22,$T$22))</f>
        <v>390</v>
      </c>
      <c r="S42" s="189"/>
      <c r="T42" s="189">
        <f t="shared" si="21"/>
        <v>181.93787828179592</v>
      </c>
      <c r="U42" s="189"/>
      <c r="V42" s="189">
        <f t="shared" si="22"/>
        <v>80.621217182039175</v>
      </c>
      <c r="W42" s="190"/>
      <c r="X42" s="206">
        <f>IF(OR(X$31="",$C42=""),"",IF($CC44,$W$23,$T$23))</f>
        <v>450</v>
      </c>
      <c r="Y42" s="207"/>
      <c r="Z42" s="207">
        <f t="shared" si="23"/>
        <v>209.9283210943799</v>
      </c>
      <c r="AA42" s="207"/>
      <c r="AB42" s="207">
        <f t="shared" si="24"/>
        <v>-99.283210943801294</v>
      </c>
      <c r="AC42" s="208"/>
      <c r="AD42" s="224">
        <f>IF(OR(AD$31="",$C42=""),"",IF($CC44,$W$24,$T$24))</f>
        <v>700</v>
      </c>
      <c r="AE42" s="225"/>
      <c r="AF42" s="225">
        <f t="shared" si="25"/>
        <v>326.55516614681318</v>
      </c>
      <c r="AG42" s="225"/>
      <c r="AH42" s="225">
        <f t="shared" si="26"/>
        <v>434.44833853186492</v>
      </c>
      <c r="AI42" s="226"/>
      <c r="AJ42" s="81"/>
      <c r="AK42" s="96"/>
      <c r="AL42" s="1"/>
      <c r="AO42" s="24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>
        <v>19</v>
      </c>
      <c r="BA42" s="38">
        <f t="shared" si="10"/>
        <v>0</v>
      </c>
      <c r="BB42" s="38">
        <f t="shared" si="11"/>
        <v>0</v>
      </c>
      <c r="BC42" s="38">
        <f t="shared" si="12"/>
        <v>0</v>
      </c>
      <c r="BD42" s="38">
        <f t="shared" si="13"/>
        <v>0</v>
      </c>
      <c r="BE42" s="38">
        <f t="shared" si="14"/>
        <v>0</v>
      </c>
      <c r="BF42" s="38">
        <f t="shared" si="15"/>
        <v>0</v>
      </c>
      <c r="BG42" s="38">
        <f>IF($C53="",0,-F53+R53)</f>
        <v>0</v>
      </c>
      <c r="BH42" s="38">
        <f>IF($C53="",0,-F53+X53)</f>
        <v>0</v>
      </c>
      <c r="BI42" s="38">
        <f t="shared" si="16"/>
        <v>0</v>
      </c>
      <c r="BJ42" s="25"/>
      <c r="BK42" s="38">
        <f>IF($C53="",0,-L53+N53)</f>
        <v>0</v>
      </c>
      <c r="BL42" s="38">
        <f>IF($C53="",0,-L53+X53)</f>
        <v>0</v>
      </c>
      <c r="BM42" s="38">
        <f>IF($C53="",0,-L53+AD53)</f>
        <v>0</v>
      </c>
      <c r="BN42" s="25"/>
      <c r="BO42" s="25"/>
      <c r="BP42" s="38">
        <f>IF($C53="",0,-R53+X53)</f>
        <v>0</v>
      </c>
      <c r="BQ42" s="38">
        <f>IF($C53="",0,-R53+AD53)</f>
        <v>0</v>
      </c>
      <c r="BR42" s="25"/>
      <c r="BS42" s="38"/>
      <c r="BT42" s="38"/>
      <c r="BU42" s="38">
        <f>IF($C53="",0,-X53+AD53)</f>
        <v>0</v>
      </c>
      <c r="BV42" s="25"/>
      <c r="BW42" s="25"/>
      <c r="BX42" s="25"/>
      <c r="BY42" s="25"/>
      <c r="BZ42" s="25"/>
      <c r="CA42" s="25"/>
      <c r="CB42" s="43">
        <v>6</v>
      </c>
      <c r="CC42" s="44" t="b">
        <f t="shared" si="27"/>
        <v>0</v>
      </c>
    </row>
    <row r="43" spans="2:81">
      <c r="B43" s="99"/>
      <c r="C43" s="133">
        <f>IF(AND(Control_1,Control_2,Year&gt;=CB45),CB45,IF(CC45,CB45-1,""))</f>
        <v>8</v>
      </c>
      <c r="D43" s="134">
        <f>IF(AND(Control_1,Control_2,Year&gt;=CB45),D42/(1+Interest/100),IF(CC45,D42,""))</f>
        <v>0.46650738020973309</v>
      </c>
      <c r="E43" s="135"/>
      <c r="F43" s="152">
        <f>IF(OR(F$31="",$C43=""),"",IF($CC45,$W$20,$T$20))</f>
        <v>200</v>
      </c>
      <c r="G43" s="153"/>
      <c r="H43" s="153">
        <f t="shared" si="17"/>
        <v>93.301476041946614</v>
      </c>
      <c r="I43" s="153"/>
      <c r="J43" s="153">
        <f t="shared" si="18"/>
        <v>160.28671562247939</v>
      </c>
      <c r="K43" s="154"/>
      <c r="L43" s="170">
        <f>IF(OR(L$31="",$C43=""),"",IF($CC45,$W$21,$T$21))</f>
        <v>220</v>
      </c>
      <c r="M43" s="171"/>
      <c r="N43" s="171">
        <f t="shared" si="19"/>
        <v>102.63162364614128</v>
      </c>
      <c r="O43" s="171"/>
      <c r="P43" s="171">
        <f t="shared" si="20"/>
        <v>343.06169707986061</v>
      </c>
      <c r="Q43" s="172"/>
      <c r="R43" s="188">
        <f>IF(OR(R$31="",$C43=""),"",IF($CC45,$W$22,$T$22))</f>
        <v>420</v>
      </c>
      <c r="S43" s="189"/>
      <c r="T43" s="189">
        <f t="shared" si="21"/>
        <v>195.93309968808791</v>
      </c>
      <c r="U43" s="189"/>
      <c r="V43" s="189">
        <f t="shared" si="22"/>
        <v>276.55431687012708</v>
      </c>
      <c r="W43" s="190"/>
      <c r="X43" s="206">
        <f>IF(OR(X$31="",$C43=""),"",IF($CC45,$W$23,$T$23))</f>
        <v>0</v>
      </c>
      <c r="Y43" s="207"/>
      <c r="Z43" s="207">
        <f t="shared" si="23"/>
        <v>0</v>
      </c>
      <c r="AA43" s="207"/>
      <c r="AB43" s="207">
        <f t="shared" si="24"/>
        <v>-99.283210943801294</v>
      </c>
      <c r="AC43" s="208"/>
      <c r="AD43" s="224">
        <f>IF(OR(AD$31="",$C43=""),"",IF($CC45,$W$24,$T$24))</f>
        <v>200</v>
      </c>
      <c r="AE43" s="225"/>
      <c r="AF43" s="225">
        <f t="shared" si="25"/>
        <v>93.301476041946614</v>
      </c>
      <c r="AG43" s="225"/>
      <c r="AH43" s="225">
        <f t="shared" si="26"/>
        <v>527.74981457381159</v>
      </c>
      <c r="AI43" s="226"/>
      <c r="AJ43" s="81"/>
      <c r="AK43" s="96"/>
      <c r="AL43" s="1"/>
      <c r="AO43" s="24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>
        <v>20</v>
      </c>
      <c r="BA43" s="38">
        <f t="shared" si="10"/>
        <v>0</v>
      </c>
      <c r="BB43" s="38">
        <f t="shared" si="11"/>
        <v>0</v>
      </c>
      <c r="BC43" s="38">
        <f t="shared" si="12"/>
        <v>0</v>
      </c>
      <c r="BD43" s="38">
        <f t="shared" si="13"/>
        <v>0</v>
      </c>
      <c r="BE43" s="38">
        <f t="shared" si="14"/>
        <v>0</v>
      </c>
      <c r="BF43" s="38">
        <f t="shared" si="15"/>
        <v>0</v>
      </c>
      <c r="BG43" s="38">
        <f>IF($C54="",0,-F54+R54)</f>
        <v>0</v>
      </c>
      <c r="BH43" s="38">
        <f>IF($C54="",0,-F54+X54)</f>
        <v>0</v>
      </c>
      <c r="BI43" s="38">
        <f t="shared" si="16"/>
        <v>0</v>
      </c>
      <c r="BJ43" s="25"/>
      <c r="BK43" s="38">
        <f>IF($C54="",0,-L54+N54)</f>
        <v>0</v>
      </c>
      <c r="BL43" s="38">
        <f>IF($C54="",0,-L54+X54)</f>
        <v>0</v>
      </c>
      <c r="BM43" s="38">
        <f>IF($C54="",0,-L54+AD54)</f>
        <v>0</v>
      </c>
      <c r="BN43" s="25"/>
      <c r="BO43" s="25"/>
      <c r="BP43" s="38">
        <f>IF($C54="",0,-R54+X54)</f>
        <v>0</v>
      </c>
      <c r="BQ43" s="38">
        <f>IF($C54="",0,-R54+AD54)</f>
        <v>0</v>
      </c>
      <c r="BR43" s="25"/>
      <c r="BS43" s="38"/>
      <c r="BT43" s="38"/>
      <c r="BU43" s="38">
        <f>IF($C54="",0,-X54+AD54)</f>
        <v>0</v>
      </c>
      <c r="BV43" s="25"/>
      <c r="BW43" s="25"/>
      <c r="BX43" s="25"/>
      <c r="BY43" s="25"/>
      <c r="BZ43" s="25"/>
      <c r="CA43" s="25"/>
      <c r="CB43" s="43">
        <v>7</v>
      </c>
      <c r="CC43" s="44" t="b">
        <f t="shared" si="27"/>
        <v>0</v>
      </c>
    </row>
    <row r="44" spans="2:81">
      <c r="B44" s="99"/>
      <c r="C44" s="133" t="str">
        <f>IF(AND(Control_1,Control_2,Year&gt;=CB46),CB46,IF(CC46,CB46-1,""))</f>
        <v/>
      </c>
      <c r="D44" s="134" t="str">
        <f>IF(AND(Control_1,Control_2,Year&gt;=CB46),D43/(1+Interest/100),IF(CC46,D43,""))</f>
        <v/>
      </c>
      <c r="E44" s="135"/>
      <c r="F44" s="152" t="str">
        <f>IF(OR(F$31="",$C44=""),"",IF($CC46,$W$20,$T$20))</f>
        <v/>
      </c>
      <c r="G44" s="153"/>
      <c r="H44" s="153" t="str">
        <f t="shared" si="17"/>
        <v/>
      </c>
      <c r="I44" s="153"/>
      <c r="J44" s="153" t="str">
        <f t="shared" si="18"/>
        <v/>
      </c>
      <c r="K44" s="154"/>
      <c r="L44" s="170" t="str">
        <f>IF(OR(L$31="",$C44=""),"",IF($CC46,$W$21,$T$21))</f>
        <v/>
      </c>
      <c r="M44" s="171"/>
      <c r="N44" s="171" t="str">
        <f t="shared" si="19"/>
        <v/>
      </c>
      <c r="O44" s="171"/>
      <c r="P44" s="171" t="str">
        <f t="shared" si="20"/>
        <v/>
      </c>
      <c r="Q44" s="172"/>
      <c r="R44" s="188" t="str">
        <f>IF(OR(R$31="",$C44=""),"",IF($CC46,$W$22,$T$22))</f>
        <v/>
      </c>
      <c r="S44" s="189"/>
      <c r="T44" s="189" t="str">
        <f t="shared" si="21"/>
        <v/>
      </c>
      <c r="U44" s="189"/>
      <c r="V44" s="189" t="str">
        <f t="shared" si="22"/>
        <v/>
      </c>
      <c r="W44" s="190"/>
      <c r="X44" s="206" t="str">
        <f>IF(OR(X$31="",$C44=""),"",IF($CC46,$W$23,$T$23))</f>
        <v/>
      </c>
      <c r="Y44" s="207"/>
      <c r="Z44" s="207" t="str">
        <f t="shared" si="23"/>
        <v/>
      </c>
      <c r="AA44" s="207"/>
      <c r="AB44" s="207" t="str">
        <f t="shared" si="24"/>
        <v/>
      </c>
      <c r="AC44" s="208"/>
      <c r="AD44" s="224" t="str">
        <f>IF(OR(AD$31="",$C44=""),"",IF($CC46,$W$24,$T$24))</f>
        <v/>
      </c>
      <c r="AE44" s="225"/>
      <c r="AF44" s="225" t="str">
        <f t="shared" si="25"/>
        <v/>
      </c>
      <c r="AG44" s="225"/>
      <c r="AH44" s="225" t="str">
        <f t="shared" si="26"/>
        <v/>
      </c>
      <c r="AI44" s="226"/>
      <c r="AJ44" s="81"/>
      <c r="AK44" s="96"/>
      <c r="AL44" s="1"/>
      <c r="AO44" s="24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43">
        <v>8</v>
      </c>
      <c r="CC44" s="44" t="b">
        <f t="shared" si="27"/>
        <v>0</v>
      </c>
    </row>
    <row r="45" spans="2:81">
      <c r="B45" s="99"/>
      <c r="C45" s="133" t="str">
        <f>IF(AND(Control_1,Control_2,Year&gt;=CB47),CB47,IF(CC47,CB47-1,""))</f>
        <v/>
      </c>
      <c r="D45" s="134" t="str">
        <f>IF(AND(Control_1,Control_2,Year&gt;=CB47),D44/(1+Interest/100),IF(CC47,D44,""))</f>
        <v/>
      </c>
      <c r="E45" s="135"/>
      <c r="F45" s="152" t="str">
        <f>IF(OR(F$31="",$C45=""),"",IF($CC47,$W$20,$T$20))</f>
        <v/>
      </c>
      <c r="G45" s="153"/>
      <c r="H45" s="153" t="str">
        <f t="shared" si="17"/>
        <v/>
      </c>
      <c r="I45" s="153"/>
      <c r="J45" s="153" t="str">
        <f t="shared" si="18"/>
        <v/>
      </c>
      <c r="K45" s="154"/>
      <c r="L45" s="170" t="str">
        <f>IF(OR(L$31="",$C45=""),"",IF($CC47,$W$21,$T$21))</f>
        <v/>
      </c>
      <c r="M45" s="171"/>
      <c r="N45" s="171" t="str">
        <f t="shared" si="19"/>
        <v/>
      </c>
      <c r="O45" s="171"/>
      <c r="P45" s="171" t="str">
        <f t="shared" si="20"/>
        <v/>
      </c>
      <c r="Q45" s="172"/>
      <c r="R45" s="188" t="str">
        <f>IF(OR(R$31="",$C45=""),"",IF($CC47,$W$22,$T$22))</f>
        <v/>
      </c>
      <c r="S45" s="189"/>
      <c r="T45" s="189" t="str">
        <f t="shared" si="21"/>
        <v/>
      </c>
      <c r="U45" s="189"/>
      <c r="V45" s="189" t="str">
        <f t="shared" si="22"/>
        <v/>
      </c>
      <c r="W45" s="190"/>
      <c r="X45" s="206" t="str">
        <f>IF(OR(X$31="",$C45=""),"",IF($CC47,$W$23,$T$23))</f>
        <v/>
      </c>
      <c r="Y45" s="207"/>
      <c r="Z45" s="207" t="str">
        <f t="shared" si="23"/>
        <v/>
      </c>
      <c r="AA45" s="207"/>
      <c r="AB45" s="207" t="str">
        <f t="shared" si="24"/>
        <v/>
      </c>
      <c r="AC45" s="208"/>
      <c r="AD45" s="224" t="str">
        <f>IF(OR(AD$31="",$C45=""),"",IF($CC47,$W$24,$T$24))</f>
        <v/>
      </c>
      <c r="AE45" s="225"/>
      <c r="AF45" s="225" t="str">
        <f t="shared" si="25"/>
        <v/>
      </c>
      <c r="AG45" s="225"/>
      <c r="AH45" s="225" t="str">
        <f t="shared" si="26"/>
        <v/>
      </c>
      <c r="AI45" s="226"/>
      <c r="AJ45" s="81"/>
      <c r="AK45" s="96"/>
      <c r="AL45" s="1"/>
      <c r="AO45" s="24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43">
        <v>9</v>
      </c>
      <c r="CC45" s="44" t="b">
        <f t="shared" si="27"/>
        <v>1</v>
      </c>
    </row>
    <row r="46" spans="2:81">
      <c r="B46" s="99"/>
      <c r="C46" s="133" t="str">
        <f>IF(AND(Control_1,Control_2,Year&gt;=CB48),CB48,IF(CC48,CB48-1,""))</f>
        <v/>
      </c>
      <c r="D46" s="134" t="str">
        <f>IF(AND(Control_1,Control_2,Year&gt;=CB48),D45/(1+Interest/100),IF(CC48,D45,""))</f>
        <v/>
      </c>
      <c r="E46" s="135"/>
      <c r="F46" s="152" t="str">
        <f>IF(OR(F$31="",$C46=""),"",IF($CC48,$W$20,$T$20))</f>
        <v/>
      </c>
      <c r="G46" s="153"/>
      <c r="H46" s="153" t="str">
        <f t="shared" si="17"/>
        <v/>
      </c>
      <c r="I46" s="153"/>
      <c r="J46" s="153" t="str">
        <f t="shared" si="18"/>
        <v/>
      </c>
      <c r="K46" s="154"/>
      <c r="L46" s="170" t="str">
        <f>IF(OR(L$31="",$C46=""),"",IF($CC48,$W$21,$T$21))</f>
        <v/>
      </c>
      <c r="M46" s="171"/>
      <c r="N46" s="171" t="str">
        <f t="shared" si="19"/>
        <v/>
      </c>
      <c r="O46" s="171"/>
      <c r="P46" s="171" t="str">
        <f t="shared" si="20"/>
        <v/>
      </c>
      <c r="Q46" s="172"/>
      <c r="R46" s="188" t="str">
        <f>IF(OR(R$31="",$C46=""),"",IF($CC48,$W$22,$T$22))</f>
        <v/>
      </c>
      <c r="S46" s="189"/>
      <c r="T46" s="189" t="str">
        <f t="shared" si="21"/>
        <v/>
      </c>
      <c r="U46" s="189"/>
      <c r="V46" s="189" t="str">
        <f t="shared" si="22"/>
        <v/>
      </c>
      <c r="W46" s="190"/>
      <c r="X46" s="206" t="str">
        <f>IF(OR(X$31="",$C46=""),"",IF($CC48,$W$23,$T$23))</f>
        <v/>
      </c>
      <c r="Y46" s="207"/>
      <c r="Z46" s="207" t="str">
        <f t="shared" si="23"/>
        <v/>
      </c>
      <c r="AA46" s="207"/>
      <c r="AB46" s="207" t="str">
        <f t="shared" si="24"/>
        <v/>
      </c>
      <c r="AC46" s="208"/>
      <c r="AD46" s="224" t="str">
        <f>IF(OR(AD$31="",$C46=""),"",IF($CC48,$W$24,$T$24))</f>
        <v/>
      </c>
      <c r="AE46" s="225"/>
      <c r="AF46" s="225" t="str">
        <f t="shared" si="25"/>
        <v/>
      </c>
      <c r="AG46" s="225"/>
      <c r="AH46" s="225" t="str">
        <f t="shared" si="26"/>
        <v/>
      </c>
      <c r="AI46" s="226"/>
      <c r="AJ46" s="81"/>
      <c r="AK46" s="96"/>
      <c r="AL46" s="1"/>
      <c r="AO46" s="24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43">
        <v>10</v>
      </c>
      <c r="CC46" s="44" t="b">
        <f t="shared" si="27"/>
        <v>0</v>
      </c>
    </row>
    <row r="47" spans="2:81">
      <c r="B47" s="99"/>
      <c r="C47" s="133" t="str">
        <f>IF(AND(Control_1,Control_2,Year&gt;=CB49),CB49,IF(CC49,CB49-1,""))</f>
        <v/>
      </c>
      <c r="D47" s="134" t="str">
        <f>IF(AND(Control_1,Control_2,Year&gt;=CB49),D46/(1+Interest/100),IF(CC49,D46,""))</f>
        <v/>
      </c>
      <c r="E47" s="135"/>
      <c r="F47" s="152" t="str">
        <f>IF(OR(F$31="",$C47=""),"",IF($CC49,$W$20,$T$20))</f>
        <v/>
      </c>
      <c r="G47" s="153"/>
      <c r="H47" s="153" t="str">
        <f t="shared" si="17"/>
        <v/>
      </c>
      <c r="I47" s="153"/>
      <c r="J47" s="153" t="str">
        <f t="shared" si="18"/>
        <v/>
      </c>
      <c r="K47" s="154"/>
      <c r="L47" s="170" t="str">
        <f>IF(OR(L$31="",$C47=""),"",IF($CC49,$W$21,$T$21))</f>
        <v/>
      </c>
      <c r="M47" s="171"/>
      <c r="N47" s="171" t="str">
        <f t="shared" si="19"/>
        <v/>
      </c>
      <c r="O47" s="171"/>
      <c r="P47" s="171" t="str">
        <f t="shared" si="20"/>
        <v/>
      </c>
      <c r="Q47" s="172"/>
      <c r="R47" s="188" t="str">
        <f>IF(OR(R$31="",$C47=""),"",IF($CC49,$W$22,$T$22))</f>
        <v/>
      </c>
      <c r="S47" s="189"/>
      <c r="T47" s="189" t="str">
        <f t="shared" si="21"/>
        <v/>
      </c>
      <c r="U47" s="189"/>
      <c r="V47" s="189" t="str">
        <f t="shared" si="22"/>
        <v/>
      </c>
      <c r="W47" s="190"/>
      <c r="X47" s="206" t="str">
        <f>IF(OR(X$31="",$C47=""),"",IF($CC49,$W$23,$T$23))</f>
        <v/>
      </c>
      <c r="Y47" s="207"/>
      <c r="Z47" s="207" t="str">
        <f t="shared" si="23"/>
        <v/>
      </c>
      <c r="AA47" s="207"/>
      <c r="AB47" s="207" t="str">
        <f t="shared" si="24"/>
        <v/>
      </c>
      <c r="AC47" s="208"/>
      <c r="AD47" s="224" t="str">
        <f>IF(OR(AD$31="",$C47=""),"",IF($CC49,$W$24,$T$24))</f>
        <v/>
      </c>
      <c r="AE47" s="225"/>
      <c r="AF47" s="225" t="str">
        <f t="shared" si="25"/>
        <v/>
      </c>
      <c r="AG47" s="225"/>
      <c r="AH47" s="225" t="str">
        <f t="shared" si="26"/>
        <v/>
      </c>
      <c r="AI47" s="226"/>
      <c r="AJ47" s="81"/>
      <c r="AK47" s="96"/>
      <c r="AL47" s="1"/>
      <c r="AO47" s="24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43">
        <v>11</v>
      </c>
      <c r="CC47" s="44" t="b">
        <f t="shared" si="27"/>
        <v>0</v>
      </c>
    </row>
    <row r="48" spans="2:81">
      <c r="B48" s="99"/>
      <c r="C48" s="133" t="str">
        <f>IF(AND(Control_1,Control_2,Year&gt;=CB50),CB50,IF(CC50,CB50-1,""))</f>
        <v/>
      </c>
      <c r="D48" s="134" t="str">
        <f>IF(AND(Control_1,Control_2,Year&gt;=CB50),D47/(1+Interest/100),IF(CC50,D47,""))</f>
        <v/>
      </c>
      <c r="E48" s="135"/>
      <c r="F48" s="152" t="str">
        <f>IF(OR(F$31="",$C48=""),"",IF($CC50,$W$20,$T$20))</f>
        <v/>
      </c>
      <c r="G48" s="153"/>
      <c r="H48" s="153" t="str">
        <f t="shared" si="17"/>
        <v/>
      </c>
      <c r="I48" s="153"/>
      <c r="J48" s="153" t="str">
        <f t="shared" si="18"/>
        <v/>
      </c>
      <c r="K48" s="154"/>
      <c r="L48" s="170" t="str">
        <f>IF(OR(L$31="",$C48=""),"",IF($CC50,$W$21,$T$21))</f>
        <v/>
      </c>
      <c r="M48" s="171"/>
      <c r="N48" s="171" t="str">
        <f t="shared" si="19"/>
        <v/>
      </c>
      <c r="O48" s="171"/>
      <c r="P48" s="171" t="str">
        <f t="shared" si="20"/>
        <v/>
      </c>
      <c r="Q48" s="172"/>
      <c r="R48" s="188" t="str">
        <f>IF(OR(R$31="",$C48=""),"",IF($CC50,$W$22,$T$22))</f>
        <v/>
      </c>
      <c r="S48" s="189"/>
      <c r="T48" s="189" t="str">
        <f t="shared" si="21"/>
        <v/>
      </c>
      <c r="U48" s="189"/>
      <c r="V48" s="189" t="str">
        <f t="shared" si="22"/>
        <v/>
      </c>
      <c r="W48" s="190"/>
      <c r="X48" s="206" t="str">
        <f>IF(OR(X$31="",$C48=""),"",IF($CC50,$W$23,$T$23))</f>
        <v/>
      </c>
      <c r="Y48" s="207"/>
      <c r="Z48" s="207" t="str">
        <f t="shared" si="23"/>
        <v/>
      </c>
      <c r="AA48" s="207"/>
      <c r="AB48" s="207" t="str">
        <f t="shared" si="24"/>
        <v/>
      </c>
      <c r="AC48" s="208"/>
      <c r="AD48" s="224" t="str">
        <f>IF(OR(AD$31="",$C48=""),"",IF($CC50,$W$24,$T$24))</f>
        <v/>
      </c>
      <c r="AE48" s="225"/>
      <c r="AF48" s="225" t="str">
        <f t="shared" si="25"/>
        <v/>
      </c>
      <c r="AG48" s="225"/>
      <c r="AH48" s="225" t="str">
        <f t="shared" si="26"/>
        <v/>
      </c>
      <c r="AI48" s="226"/>
      <c r="AJ48" s="81"/>
      <c r="AK48" s="96"/>
      <c r="AL48" s="1"/>
      <c r="AO48" s="24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43">
        <v>12</v>
      </c>
      <c r="CC48" s="44" t="b">
        <f t="shared" si="27"/>
        <v>0</v>
      </c>
    </row>
    <row r="49" spans="1:81">
      <c r="B49" s="99"/>
      <c r="C49" s="133" t="str">
        <f>IF(AND(Control_1,Control_2,Year&gt;=CB51),CB51,IF(CC51,CB51-1,""))</f>
        <v/>
      </c>
      <c r="D49" s="134" t="str">
        <f>IF(AND(Control_1,Control_2,Year&gt;=CB51),D48/(1+Interest/100),IF(CC51,D48,""))</f>
        <v/>
      </c>
      <c r="E49" s="135"/>
      <c r="F49" s="152" t="str">
        <f>IF(OR(F$31="",$C49=""),"",IF($CC51,$W$20,$T$20))</f>
        <v/>
      </c>
      <c r="G49" s="153"/>
      <c r="H49" s="153" t="str">
        <f t="shared" si="17"/>
        <v/>
      </c>
      <c r="I49" s="153"/>
      <c r="J49" s="153" t="str">
        <f t="shared" si="18"/>
        <v/>
      </c>
      <c r="K49" s="154"/>
      <c r="L49" s="170" t="str">
        <f>IF(OR(L$31="",$C49=""),"",IF($CC51,$W$21,$T$21))</f>
        <v/>
      </c>
      <c r="M49" s="171"/>
      <c r="N49" s="171" t="str">
        <f t="shared" si="19"/>
        <v/>
      </c>
      <c r="O49" s="171"/>
      <c r="P49" s="171" t="str">
        <f t="shared" si="20"/>
        <v/>
      </c>
      <c r="Q49" s="172"/>
      <c r="R49" s="188" t="str">
        <f>IF(OR(R$31="",$C49=""),"",IF($CC51,$W$22,$T$22))</f>
        <v/>
      </c>
      <c r="S49" s="189"/>
      <c r="T49" s="189" t="str">
        <f t="shared" si="21"/>
        <v/>
      </c>
      <c r="U49" s="189"/>
      <c r="V49" s="189" t="str">
        <f t="shared" si="22"/>
        <v/>
      </c>
      <c r="W49" s="190"/>
      <c r="X49" s="206" t="str">
        <f>IF(OR(X$31="",$C49=""),"",IF($CC51,$W$23,$T$23))</f>
        <v/>
      </c>
      <c r="Y49" s="207"/>
      <c r="Z49" s="207" t="str">
        <f t="shared" si="23"/>
        <v/>
      </c>
      <c r="AA49" s="207"/>
      <c r="AB49" s="207" t="str">
        <f t="shared" si="24"/>
        <v/>
      </c>
      <c r="AC49" s="208"/>
      <c r="AD49" s="224" t="str">
        <f>IF(OR(AD$31="",$C49=""),"",IF($CC51,$W$24,$T$24))</f>
        <v/>
      </c>
      <c r="AE49" s="225"/>
      <c r="AF49" s="225" t="str">
        <f t="shared" si="25"/>
        <v/>
      </c>
      <c r="AG49" s="225"/>
      <c r="AH49" s="225" t="str">
        <f t="shared" si="26"/>
        <v/>
      </c>
      <c r="AI49" s="226"/>
      <c r="AJ49" s="81"/>
      <c r="AK49" s="96"/>
      <c r="AL49" s="1"/>
      <c r="AO49" s="24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43">
        <v>13</v>
      </c>
      <c r="CC49" s="44" t="b">
        <f t="shared" si="27"/>
        <v>0</v>
      </c>
    </row>
    <row r="50" spans="1:81">
      <c r="B50" s="99"/>
      <c r="C50" s="133" t="str">
        <f>IF(AND(Control_1,Control_2,Year&gt;=CB52),CB52,IF(CC52,CB52-1,""))</f>
        <v/>
      </c>
      <c r="D50" s="134" t="str">
        <f>IF(AND(Control_1,Control_2,Year&gt;=CB52),D49/(1+Interest/100),IF(CC52,D49,""))</f>
        <v/>
      </c>
      <c r="E50" s="135"/>
      <c r="F50" s="152" t="str">
        <f>IF(OR(F$31="",$C50=""),"",IF($CC52,$W$20,$T$20))</f>
        <v/>
      </c>
      <c r="G50" s="153"/>
      <c r="H50" s="153" t="str">
        <f t="shared" si="17"/>
        <v/>
      </c>
      <c r="I50" s="153"/>
      <c r="J50" s="153" t="str">
        <f t="shared" si="18"/>
        <v/>
      </c>
      <c r="K50" s="154"/>
      <c r="L50" s="170" t="str">
        <f>IF(OR(L$31="",$C50=""),"",IF($CC52,$W$21,$T$21))</f>
        <v/>
      </c>
      <c r="M50" s="171"/>
      <c r="N50" s="171" t="str">
        <f t="shared" si="19"/>
        <v/>
      </c>
      <c r="O50" s="171"/>
      <c r="P50" s="171" t="str">
        <f t="shared" si="20"/>
        <v/>
      </c>
      <c r="Q50" s="172"/>
      <c r="R50" s="188" t="str">
        <f>IF(OR(R$31="",$C50=""),"",IF($CC52,$W$22,$T$22))</f>
        <v/>
      </c>
      <c r="S50" s="189"/>
      <c r="T50" s="189" t="str">
        <f t="shared" si="21"/>
        <v/>
      </c>
      <c r="U50" s="189"/>
      <c r="V50" s="189" t="str">
        <f t="shared" si="22"/>
        <v/>
      </c>
      <c r="W50" s="190"/>
      <c r="X50" s="206" t="str">
        <f>IF(OR(X$31="",$C50=""),"",IF($CC52,$W$23,$T$23))</f>
        <v/>
      </c>
      <c r="Y50" s="207"/>
      <c r="Z50" s="207" t="str">
        <f t="shared" si="23"/>
        <v/>
      </c>
      <c r="AA50" s="207"/>
      <c r="AB50" s="207" t="str">
        <f t="shared" si="24"/>
        <v/>
      </c>
      <c r="AC50" s="208"/>
      <c r="AD50" s="224" t="str">
        <f>IF(OR(AD$31="",$C50=""),"",IF($CC52,$W$24,$T$24))</f>
        <v/>
      </c>
      <c r="AE50" s="225"/>
      <c r="AF50" s="225" t="str">
        <f t="shared" si="25"/>
        <v/>
      </c>
      <c r="AG50" s="225"/>
      <c r="AH50" s="225" t="str">
        <f t="shared" si="26"/>
        <v/>
      </c>
      <c r="AI50" s="226"/>
      <c r="AJ50" s="81"/>
      <c r="AK50" s="96"/>
      <c r="AL50" s="1"/>
      <c r="AO50" s="24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43">
        <v>14</v>
      </c>
      <c r="CC50" s="44" t="b">
        <f t="shared" si="27"/>
        <v>0</v>
      </c>
    </row>
    <row r="51" spans="1:81">
      <c r="B51" s="99"/>
      <c r="C51" s="133" t="str">
        <f>IF(AND(Control_1,Control_2,Year&gt;=CB53),CB53,IF(CC53,CB53-1,""))</f>
        <v/>
      </c>
      <c r="D51" s="134" t="str">
        <f>IF(AND(Control_1,Control_2,Year&gt;=CB53),D50/(1+Interest/100),IF(CC53,D50,""))</f>
        <v/>
      </c>
      <c r="E51" s="135"/>
      <c r="F51" s="152" t="str">
        <f>IF(OR(F$31="",$C51=""),"",IF($CC53,$W$20,$T$20))</f>
        <v/>
      </c>
      <c r="G51" s="153"/>
      <c r="H51" s="153" t="str">
        <f t="shared" si="17"/>
        <v/>
      </c>
      <c r="I51" s="153"/>
      <c r="J51" s="153" t="str">
        <f t="shared" si="18"/>
        <v/>
      </c>
      <c r="K51" s="154"/>
      <c r="L51" s="170" t="str">
        <f>IF(OR(L$31="",$C51=""),"",IF($CC53,$W$21,$T$21))</f>
        <v/>
      </c>
      <c r="M51" s="171"/>
      <c r="N51" s="171" t="str">
        <f t="shared" si="19"/>
        <v/>
      </c>
      <c r="O51" s="171"/>
      <c r="P51" s="171" t="str">
        <f t="shared" si="20"/>
        <v/>
      </c>
      <c r="Q51" s="172"/>
      <c r="R51" s="188" t="str">
        <f>IF(OR(R$31="",$C51=""),"",IF($CC53,$W$22,$T$22))</f>
        <v/>
      </c>
      <c r="S51" s="189"/>
      <c r="T51" s="189" t="str">
        <f t="shared" si="21"/>
        <v/>
      </c>
      <c r="U51" s="189"/>
      <c r="V51" s="189" t="str">
        <f t="shared" si="22"/>
        <v/>
      </c>
      <c r="W51" s="190"/>
      <c r="X51" s="206" t="str">
        <f>IF(OR(X$31="",$C51=""),"",IF($CC53,$W$23,$T$23))</f>
        <v/>
      </c>
      <c r="Y51" s="207"/>
      <c r="Z51" s="207" t="str">
        <f t="shared" si="23"/>
        <v/>
      </c>
      <c r="AA51" s="207"/>
      <c r="AB51" s="207" t="str">
        <f t="shared" si="24"/>
        <v/>
      </c>
      <c r="AC51" s="208"/>
      <c r="AD51" s="224" t="str">
        <f>IF(OR(AD$31="",$C51=""),"",IF($CC53,$W$24,$T$24))</f>
        <v/>
      </c>
      <c r="AE51" s="225"/>
      <c r="AF51" s="225" t="str">
        <f t="shared" si="25"/>
        <v/>
      </c>
      <c r="AG51" s="225"/>
      <c r="AH51" s="225" t="str">
        <f t="shared" si="26"/>
        <v/>
      </c>
      <c r="AI51" s="226"/>
      <c r="AJ51" s="81"/>
      <c r="AK51" s="96"/>
      <c r="AL51" s="1"/>
      <c r="AO51" s="24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43">
        <v>15</v>
      </c>
      <c r="CC51" s="44" t="b">
        <f t="shared" si="27"/>
        <v>0</v>
      </c>
    </row>
    <row r="52" spans="1:81">
      <c r="B52" s="99"/>
      <c r="C52" s="133" t="str">
        <f>IF(AND(Control_1,Control_2,Year&gt;=CB54),CB54,IF(CC54,CB54-1,""))</f>
        <v/>
      </c>
      <c r="D52" s="134" t="str">
        <f>IF(AND(Control_1,Control_2,Year&gt;=CB54),D51/(1+Interest/100),IF(CC54,D51,""))</f>
        <v/>
      </c>
      <c r="E52" s="135"/>
      <c r="F52" s="152" t="str">
        <f>IF(OR(F$31="",$C52=""),"",IF($CC54,$W$20,$T$20))</f>
        <v/>
      </c>
      <c r="G52" s="153"/>
      <c r="H52" s="153" t="str">
        <f t="shared" si="17"/>
        <v/>
      </c>
      <c r="I52" s="153"/>
      <c r="J52" s="153" t="str">
        <f t="shared" si="18"/>
        <v/>
      </c>
      <c r="K52" s="154"/>
      <c r="L52" s="170" t="str">
        <f>IF(OR(L$31="",$C52=""),"",IF($CC54,$W$21,$T$21))</f>
        <v/>
      </c>
      <c r="M52" s="171"/>
      <c r="N52" s="171" t="str">
        <f t="shared" si="19"/>
        <v/>
      </c>
      <c r="O52" s="171"/>
      <c r="P52" s="171" t="str">
        <f t="shared" si="20"/>
        <v/>
      </c>
      <c r="Q52" s="172"/>
      <c r="R52" s="188" t="str">
        <f>IF(OR(R$31="",$C52=""),"",IF($CC54,$W$22,$T$22))</f>
        <v/>
      </c>
      <c r="S52" s="189"/>
      <c r="T52" s="189" t="str">
        <f t="shared" si="21"/>
        <v/>
      </c>
      <c r="U52" s="189"/>
      <c r="V52" s="189" t="str">
        <f t="shared" si="22"/>
        <v/>
      </c>
      <c r="W52" s="190"/>
      <c r="X52" s="206" t="str">
        <f>IF(OR(X$31="",$C52=""),"",IF($CC54,$W$23,$T$23))</f>
        <v/>
      </c>
      <c r="Y52" s="207"/>
      <c r="Z52" s="207" t="str">
        <f t="shared" si="23"/>
        <v/>
      </c>
      <c r="AA52" s="207"/>
      <c r="AB52" s="207" t="str">
        <f t="shared" si="24"/>
        <v/>
      </c>
      <c r="AC52" s="208"/>
      <c r="AD52" s="224" t="str">
        <f>IF(OR(AD$31="",$C52=""),"",IF($CC54,$W$24,$T$24))</f>
        <v/>
      </c>
      <c r="AE52" s="225"/>
      <c r="AF52" s="225" t="str">
        <f t="shared" si="25"/>
        <v/>
      </c>
      <c r="AG52" s="225"/>
      <c r="AH52" s="225" t="str">
        <f t="shared" si="26"/>
        <v/>
      </c>
      <c r="AI52" s="226"/>
      <c r="AJ52" s="81"/>
      <c r="AK52" s="96"/>
      <c r="AL52" s="1"/>
      <c r="AO52" s="24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43">
        <v>16</v>
      </c>
      <c r="CC52" s="44" t="b">
        <f t="shared" si="27"/>
        <v>0</v>
      </c>
    </row>
    <row r="53" spans="1:81">
      <c r="B53" s="99"/>
      <c r="C53" s="133" t="str">
        <f>IF(AND(Control_1,Control_2,Year&gt;=CB55),CB55,IF(CC55,CB55-1,""))</f>
        <v/>
      </c>
      <c r="D53" s="134" t="str">
        <f>IF(AND(Control_1,Control_2,Year&gt;=CB55),D52/(1+Interest/100),IF(CC55,D52,""))</f>
        <v/>
      </c>
      <c r="E53" s="135"/>
      <c r="F53" s="152" t="str">
        <f>IF(OR(F$31="",$C53=""),"",IF($CC55,$W$20,$T$20))</f>
        <v/>
      </c>
      <c r="G53" s="153"/>
      <c r="H53" s="153" t="str">
        <f t="shared" si="17"/>
        <v/>
      </c>
      <c r="I53" s="153"/>
      <c r="J53" s="153" t="str">
        <f t="shared" si="18"/>
        <v/>
      </c>
      <c r="K53" s="154"/>
      <c r="L53" s="170" t="str">
        <f>IF(OR(L$31="",$C53=""),"",IF($CC55,$W$21,$T$21))</f>
        <v/>
      </c>
      <c r="M53" s="171"/>
      <c r="N53" s="171" t="str">
        <f t="shared" si="19"/>
        <v/>
      </c>
      <c r="O53" s="171"/>
      <c r="P53" s="171" t="str">
        <f t="shared" si="20"/>
        <v/>
      </c>
      <c r="Q53" s="172"/>
      <c r="R53" s="188" t="str">
        <f>IF(OR(R$31="",$C53=""),"",IF($CC55,$W$22,$T$22))</f>
        <v/>
      </c>
      <c r="S53" s="189"/>
      <c r="T53" s="189" t="str">
        <f t="shared" si="21"/>
        <v/>
      </c>
      <c r="U53" s="189"/>
      <c r="V53" s="189" t="str">
        <f t="shared" si="22"/>
        <v/>
      </c>
      <c r="W53" s="190"/>
      <c r="X53" s="206" t="str">
        <f>IF(OR(X$31="",$C53=""),"",IF($CC55,$W$23,$T$23))</f>
        <v/>
      </c>
      <c r="Y53" s="207"/>
      <c r="Z53" s="207" t="str">
        <f t="shared" si="23"/>
        <v/>
      </c>
      <c r="AA53" s="207"/>
      <c r="AB53" s="207" t="str">
        <f t="shared" si="24"/>
        <v/>
      </c>
      <c r="AC53" s="208"/>
      <c r="AD53" s="224" t="str">
        <f>IF(OR(AD$31="",$C53=""),"",IF($CC55,$W$24,$T$24))</f>
        <v/>
      </c>
      <c r="AE53" s="225"/>
      <c r="AF53" s="225" t="str">
        <f t="shared" si="25"/>
        <v/>
      </c>
      <c r="AG53" s="225"/>
      <c r="AH53" s="225" t="str">
        <f t="shared" si="26"/>
        <v/>
      </c>
      <c r="AI53" s="226"/>
      <c r="AJ53" s="81"/>
      <c r="AK53" s="96"/>
      <c r="AL53" s="1"/>
      <c r="AO53" s="24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43">
        <v>17</v>
      </c>
      <c r="CC53" s="44" t="b">
        <f t="shared" si="27"/>
        <v>0</v>
      </c>
    </row>
    <row r="54" spans="1:81" ht="15.75" thickBot="1">
      <c r="B54" s="99"/>
      <c r="C54" s="136" t="str">
        <f>IF(AND(Control_1,Control_2,Year&gt;=CB56),CB56,IF(CC56,CB56-1,""))</f>
        <v/>
      </c>
      <c r="D54" s="137" t="str">
        <f>IF(AND(Control_1,Control_2,Year&gt;=CB56),D53/(1+Interest/100),IF(CC56,D53,""))</f>
        <v/>
      </c>
      <c r="E54" s="138"/>
      <c r="F54" s="155" t="str">
        <f>IF(OR(F$31="",$C54=""),"",IF($CC56,$W$20,$T$20))</f>
        <v/>
      </c>
      <c r="G54" s="156"/>
      <c r="H54" s="156" t="str">
        <f t="shared" si="17"/>
        <v/>
      </c>
      <c r="I54" s="156"/>
      <c r="J54" s="156" t="str">
        <f t="shared" si="18"/>
        <v/>
      </c>
      <c r="K54" s="157"/>
      <c r="L54" s="173" t="str">
        <f>IF(OR(L$31="",$C54=""),"",IF($CC56,$W$21,$T$21))</f>
        <v/>
      </c>
      <c r="M54" s="174"/>
      <c r="N54" s="174" t="str">
        <f t="shared" si="19"/>
        <v/>
      </c>
      <c r="O54" s="174"/>
      <c r="P54" s="174" t="str">
        <f t="shared" si="20"/>
        <v/>
      </c>
      <c r="Q54" s="175"/>
      <c r="R54" s="191" t="str">
        <f>IF(OR(R$31="",$C54=""),"",IF($CC56,$W$22,$T$22))</f>
        <v/>
      </c>
      <c r="S54" s="192"/>
      <c r="T54" s="192" t="str">
        <f t="shared" si="21"/>
        <v/>
      </c>
      <c r="U54" s="192"/>
      <c r="V54" s="192" t="str">
        <f t="shared" si="22"/>
        <v/>
      </c>
      <c r="W54" s="193"/>
      <c r="X54" s="209" t="str">
        <f>IF(OR(X$31="",$C54=""),"",IF($CC56,$W$23,$T$23))</f>
        <v/>
      </c>
      <c r="Y54" s="210"/>
      <c r="Z54" s="210" t="str">
        <f t="shared" si="23"/>
        <v/>
      </c>
      <c r="AA54" s="210"/>
      <c r="AB54" s="210" t="str">
        <f t="shared" si="24"/>
        <v/>
      </c>
      <c r="AC54" s="211"/>
      <c r="AD54" s="227" t="str">
        <f>IF(OR(AD$31="",$C54=""),"",IF($CC56,$W$24,$T$24))</f>
        <v/>
      </c>
      <c r="AE54" s="228"/>
      <c r="AF54" s="228" t="str">
        <f t="shared" si="25"/>
        <v/>
      </c>
      <c r="AG54" s="228"/>
      <c r="AH54" s="228" t="str">
        <f t="shared" si="26"/>
        <v/>
      </c>
      <c r="AI54" s="229"/>
      <c r="AJ54" s="81"/>
      <c r="AK54" s="96"/>
      <c r="AL54" s="1"/>
      <c r="AO54" s="24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43">
        <v>18</v>
      </c>
      <c r="CC54" s="44" t="b">
        <f t="shared" si="27"/>
        <v>0</v>
      </c>
    </row>
    <row r="55" spans="1:81" ht="15.75" thickBot="1">
      <c r="A55" s="2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2"/>
      <c r="AG55" s="102"/>
      <c r="AH55" s="102"/>
      <c r="AI55" s="102"/>
      <c r="AJ55" s="102"/>
      <c r="AK55" s="103"/>
      <c r="AL55" s="1"/>
      <c r="AO55" s="24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43">
        <v>19</v>
      </c>
      <c r="CC55" s="44" t="b">
        <f t="shared" si="27"/>
        <v>0</v>
      </c>
    </row>
    <row r="56" spans="1:8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O56" s="24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43">
        <v>20</v>
      </c>
      <c r="CC56" s="44" t="b">
        <f t="shared" si="27"/>
        <v>0</v>
      </c>
    </row>
    <row r="57" spans="1:81" ht="15.75" thickBot="1">
      <c r="AO57" s="45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7"/>
    </row>
  </sheetData>
  <mergeCells count="438">
    <mergeCell ref="AY18:AY19"/>
    <mergeCell ref="AO3:CC3"/>
    <mergeCell ref="C26:E26"/>
    <mergeCell ref="F26:H26"/>
    <mergeCell ref="C25:Y25"/>
    <mergeCell ref="L32:M33"/>
    <mergeCell ref="N32:O33"/>
    <mergeCell ref="P32:Q33"/>
    <mergeCell ref="W19:Y19"/>
    <mergeCell ref="W20:Y20"/>
    <mergeCell ref="W21:Y21"/>
    <mergeCell ref="W22:Y22"/>
    <mergeCell ref="Q19:S19"/>
    <mergeCell ref="Q20:S20"/>
    <mergeCell ref="Q21:S21"/>
    <mergeCell ref="Q22:S22"/>
    <mergeCell ref="N24:P24"/>
    <mergeCell ref="AD31:AI31"/>
    <mergeCell ref="AD32:AE33"/>
    <mergeCell ref="AF32:AG33"/>
    <mergeCell ref="AH32:AI33"/>
    <mergeCell ref="C20:D20"/>
    <mergeCell ref="C19:D19"/>
    <mergeCell ref="C21:D21"/>
    <mergeCell ref="C22:D22"/>
    <mergeCell ref="C23:D23"/>
    <mergeCell ref="C24:D24"/>
    <mergeCell ref="R31:W31"/>
    <mergeCell ref="R32:S33"/>
    <mergeCell ref="T32:U33"/>
    <mergeCell ref="V32:W33"/>
    <mergeCell ref="X31:AC31"/>
    <mergeCell ref="X32:Y33"/>
    <mergeCell ref="Z32:AA33"/>
    <mergeCell ref="AB32:AC33"/>
    <mergeCell ref="D32:E33"/>
    <mergeCell ref="F32:G33"/>
    <mergeCell ref="H32:I33"/>
    <mergeCell ref="J32:K33"/>
    <mergeCell ref="F31:K31"/>
    <mergeCell ref="L31:Q31"/>
    <mergeCell ref="K21:M21"/>
    <mergeCell ref="K22:M22"/>
    <mergeCell ref="K23:M23"/>
    <mergeCell ref="K24:M24"/>
    <mergeCell ref="C17:D18"/>
    <mergeCell ref="E19:J19"/>
    <mergeCell ref="E20:J20"/>
    <mergeCell ref="E21:J21"/>
    <mergeCell ref="E22:J22"/>
    <mergeCell ref="E23:J23"/>
    <mergeCell ref="D36:E36"/>
    <mergeCell ref="D37:E37"/>
    <mergeCell ref="D38:E38"/>
    <mergeCell ref="D39:E39"/>
    <mergeCell ref="W23:Y23"/>
    <mergeCell ref="W24:Y24"/>
    <mergeCell ref="W17:Y18"/>
    <mergeCell ref="AA17:AC18"/>
    <mergeCell ref="AA19:AC19"/>
    <mergeCell ref="AA20:AC20"/>
    <mergeCell ref="AA21:AC21"/>
    <mergeCell ref="AA22:AC22"/>
    <mergeCell ref="AA23:AC23"/>
    <mergeCell ref="AA24:AC24"/>
    <mergeCell ref="Q23:S23"/>
    <mergeCell ref="Q24:S24"/>
    <mergeCell ref="Q17:S18"/>
    <mergeCell ref="T19:V19"/>
    <mergeCell ref="T20:V20"/>
    <mergeCell ref="T21:V21"/>
    <mergeCell ref="T22:V22"/>
    <mergeCell ref="T23:V23"/>
    <mergeCell ref="T24:V24"/>
    <mergeCell ref="T17:V18"/>
    <mergeCell ref="D52:E52"/>
    <mergeCell ref="D53:E53"/>
    <mergeCell ref="D54:E54"/>
    <mergeCell ref="F34:G34"/>
    <mergeCell ref="F35:G35"/>
    <mergeCell ref="F36:G36"/>
    <mergeCell ref="F37:G37"/>
    <mergeCell ref="F38:G38"/>
    <mergeCell ref="F39:G39"/>
    <mergeCell ref="F40:G40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D45:E45"/>
    <mergeCell ref="D34:E34"/>
    <mergeCell ref="D35:E35"/>
    <mergeCell ref="F53:G53"/>
    <mergeCell ref="F54:G54"/>
    <mergeCell ref="H34:I34"/>
    <mergeCell ref="J34:K34"/>
    <mergeCell ref="L34:M34"/>
    <mergeCell ref="N34:O34"/>
    <mergeCell ref="H37:I37"/>
    <mergeCell ref="J37:K37"/>
    <mergeCell ref="L37:M37"/>
    <mergeCell ref="N37:O37"/>
    <mergeCell ref="F47:G47"/>
    <mergeCell ref="F48:G48"/>
    <mergeCell ref="F49:G49"/>
    <mergeCell ref="F50:G50"/>
    <mergeCell ref="F51:G51"/>
    <mergeCell ref="F52:G52"/>
    <mergeCell ref="F41:G41"/>
    <mergeCell ref="F42:G42"/>
    <mergeCell ref="F43:G43"/>
    <mergeCell ref="F44:G44"/>
    <mergeCell ref="F45:G45"/>
    <mergeCell ref="F46:G46"/>
    <mergeCell ref="AB34:AC34"/>
    <mergeCell ref="AD34:AE34"/>
    <mergeCell ref="AF34:AG34"/>
    <mergeCell ref="AH34:AI34"/>
    <mergeCell ref="H35:I35"/>
    <mergeCell ref="J35:K35"/>
    <mergeCell ref="L35:M35"/>
    <mergeCell ref="N35:O35"/>
    <mergeCell ref="P35:Q35"/>
    <mergeCell ref="R35:S35"/>
    <mergeCell ref="P34:Q34"/>
    <mergeCell ref="R34:S34"/>
    <mergeCell ref="T34:U34"/>
    <mergeCell ref="V34:W34"/>
    <mergeCell ref="X34:Y34"/>
    <mergeCell ref="Z34:AA34"/>
    <mergeCell ref="X36:Y36"/>
    <mergeCell ref="Z36:AA36"/>
    <mergeCell ref="AB36:AC36"/>
    <mergeCell ref="AD36:AE36"/>
    <mergeCell ref="AF36:AG36"/>
    <mergeCell ref="AH36:AI36"/>
    <mergeCell ref="AF35:AG35"/>
    <mergeCell ref="AH35:AI35"/>
    <mergeCell ref="H36:I36"/>
    <mergeCell ref="J36:K36"/>
    <mergeCell ref="L36:M36"/>
    <mergeCell ref="N36:O36"/>
    <mergeCell ref="P36:Q36"/>
    <mergeCell ref="R36:S36"/>
    <mergeCell ref="T36:U36"/>
    <mergeCell ref="V36:W36"/>
    <mergeCell ref="T35:U35"/>
    <mergeCell ref="V35:W35"/>
    <mergeCell ref="X35:Y35"/>
    <mergeCell ref="Z35:AA35"/>
    <mergeCell ref="AB35:AC35"/>
    <mergeCell ref="AD35:AE35"/>
    <mergeCell ref="AB37:AC37"/>
    <mergeCell ref="AD37:AE37"/>
    <mergeCell ref="AF37:AG37"/>
    <mergeCell ref="AH37:AI37"/>
    <mergeCell ref="H38:I38"/>
    <mergeCell ref="J38:K38"/>
    <mergeCell ref="L38:M38"/>
    <mergeCell ref="N38:O38"/>
    <mergeCell ref="P38:Q38"/>
    <mergeCell ref="R38:S38"/>
    <mergeCell ref="P37:Q37"/>
    <mergeCell ref="R37:S37"/>
    <mergeCell ref="T37:U37"/>
    <mergeCell ref="V37:W37"/>
    <mergeCell ref="X37:Y37"/>
    <mergeCell ref="Z37:AA37"/>
    <mergeCell ref="AH39:AI39"/>
    <mergeCell ref="AF38:AG38"/>
    <mergeCell ref="AH38:AI38"/>
    <mergeCell ref="H39:I39"/>
    <mergeCell ref="J39:K39"/>
    <mergeCell ref="L39:M39"/>
    <mergeCell ref="N39:O39"/>
    <mergeCell ref="P39:Q39"/>
    <mergeCell ref="R39:S39"/>
    <mergeCell ref="T39:U39"/>
    <mergeCell ref="V39:W39"/>
    <mergeCell ref="T38:U38"/>
    <mergeCell ref="V38:W38"/>
    <mergeCell ref="X38:Y38"/>
    <mergeCell ref="Z38:AA38"/>
    <mergeCell ref="AB38:AC38"/>
    <mergeCell ref="AD38:AE38"/>
    <mergeCell ref="L40:M40"/>
    <mergeCell ref="N40:O40"/>
    <mergeCell ref="P40:Q40"/>
    <mergeCell ref="R40:S40"/>
    <mergeCell ref="X39:Y39"/>
    <mergeCell ref="Z39:AA39"/>
    <mergeCell ref="AB39:AC39"/>
    <mergeCell ref="AD39:AE39"/>
    <mergeCell ref="AF39:AG39"/>
    <mergeCell ref="X41:Y41"/>
    <mergeCell ref="Z41:AA41"/>
    <mergeCell ref="AB41:AC41"/>
    <mergeCell ref="AD41:AE41"/>
    <mergeCell ref="AF41:AG41"/>
    <mergeCell ref="AH41:AI41"/>
    <mergeCell ref="AF40:AG40"/>
    <mergeCell ref="AH40:AI40"/>
    <mergeCell ref="H41:I41"/>
    <mergeCell ref="J41:K41"/>
    <mergeCell ref="L41:M41"/>
    <mergeCell ref="N41:O41"/>
    <mergeCell ref="P41:Q41"/>
    <mergeCell ref="R41:S41"/>
    <mergeCell ref="T41:U41"/>
    <mergeCell ref="V41:W41"/>
    <mergeCell ref="T40:U40"/>
    <mergeCell ref="V40:W40"/>
    <mergeCell ref="X40:Y40"/>
    <mergeCell ref="Z40:AA40"/>
    <mergeCell ref="AB40:AC40"/>
    <mergeCell ref="AD40:AE40"/>
    <mergeCell ref="H40:I40"/>
    <mergeCell ref="J40:K40"/>
    <mergeCell ref="AH43:AI43"/>
    <mergeCell ref="AF42:AG42"/>
    <mergeCell ref="AH42:AI42"/>
    <mergeCell ref="H43:I43"/>
    <mergeCell ref="J43:K43"/>
    <mergeCell ref="L43:M43"/>
    <mergeCell ref="N43:O43"/>
    <mergeCell ref="P43:Q43"/>
    <mergeCell ref="R43:S43"/>
    <mergeCell ref="T43:U43"/>
    <mergeCell ref="V43:W43"/>
    <mergeCell ref="T42:U42"/>
    <mergeCell ref="V42:W42"/>
    <mergeCell ref="X42:Y42"/>
    <mergeCell ref="Z42:AA42"/>
    <mergeCell ref="AB42:AC42"/>
    <mergeCell ref="AD42:AE42"/>
    <mergeCell ref="H42:I42"/>
    <mergeCell ref="J42:K42"/>
    <mergeCell ref="L42:M42"/>
    <mergeCell ref="N42:O42"/>
    <mergeCell ref="P42:Q42"/>
    <mergeCell ref="R42:S42"/>
    <mergeCell ref="L44:M44"/>
    <mergeCell ref="N44:O44"/>
    <mergeCell ref="P44:Q44"/>
    <mergeCell ref="R44:S44"/>
    <mergeCell ref="X43:Y43"/>
    <mergeCell ref="Z43:AA43"/>
    <mergeCell ref="AB43:AC43"/>
    <mergeCell ref="AD43:AE43"/>
    <mergeCell ref="AF43:AG43"/>
    <mergeCell ref="X45:Y45"/>
    <mergeCell ref="Z45:AA45"/>
    <mergeCell ref="AB45:AC45"/>
    <mergeCell ref="AD45:AE45"/>
    <mergeCell ref="AF45:AG45"/>
    <mergeCell ref="AH45:AI45"/>
    <mergeCell ref="AF44:AG44"/>
    <mergeCell ref="AH44:AI44"/>
    <mergeCell ref="H45:I45"/>
    <mergeCell ref="J45:K45"/>
    <mergeCell ref="L45:M45"/>
    <mergeCell ref="N45:O45"/>
    <mergeCell ref="P45:Q45"/>
    <mergeCell ref="R45:S45"/>
    <mergeCell ref="T45:U45"/>
    <mergeCell ref="V45:W45"/>
    <mergeCell ref="T44:U44"/>
    <mergeCell ref="V44:W44"/>
    <mergeCell ref="X44:Y44"/>
    <mergeCell ref="Z44:AA44"/>
    <mergeCell ref="AB44:AC44"/>
    <mergeCell ref="AD44:AE44"/>
    <mergeCell ref="H44:I44"/>
    <mergeCell ref="J44:K44"/>
    <mergeCell ref="AH47:AI47"/>
    <mergeCell ref="AF46:AG46"/>
    <mergeCell ref="AH46:AI46"/>
    <mergeCell ref="H47:I47"/>
    <mergeCell ref="J47:K47"/>
    <mergeCell ref="L47:M47"/>
    <mergeCell ref="N47:O47"/>
    <mergeCell ref="P47:Q47"/>
    <mergeCell ref="R47:S47"/>
    <mergeCell ref="T47:U47"/>
    <mergeCell ref="V47:W47"/>
    <mergeCell ref="T46:U46"/>
    <mergeCell ref="V46:W46"/>
    <mergeCell ref="X46:Y46"/>
    <mergeCell ref="Z46:AA46"/>
    <mergeCell ref="AB46:AC46"/>
    <mergeCell ref="AD46:AE46"/>
    <mergeCell ref="H46:I46"/>
    <mergeCell ref="J46:K46"/>
    <mergeCell ref="L46:M46"/>
    <mergeCell ref="N46:O46"/>
    <mergeCell ref="P46:Q46"/>
    <mergeCell ref="R46:S46"/>
    <mergeCell ref="L48:M48"/>
    <mergeCell ref="N48:O48"/>
    <mergeCell ref="P48:Q48"/>
    <mergeCell ref="R48:S48"/>
    <mergeCell ref="X47:Y47"/>
    <mergeCell ref="Z47:AA47"/>
    <mergeCell ref="AB47:AC47"/>
    <mergeCell ref="AD47:AE47"/>
    <mergeCell ref="AF47:AG47"/>
    <mergeCell ref="X49:Y49"/>
    <mergeCell ref="Z49:AA49"/>
    <mergeCell ref="AB49:AC49"/>
    <mergeCell ref="AD49:AE49"/>
    <mergeCell ref="AF49:AG49"/>
    <mergeCell ref="AH49:AI49"/>
    <mergeCell ref="AF48:AG48"/>
    <mergeCell ref="AH48:AI48"/>
    <mergeCell ref="H49:I49"/>
    <mergeCell ref="J49:K49"/>
    <mergeCell ref="L49:M49"/>
    <mergeCell ref="N49:O49"/>
    <mergeCell ref="P49:Q49"/>
    <mergeCell ref="R49:S49"/>
    <mergeCell ref="T49:U49"/>
    <mergeCell ref="V49:W49"/>
    <mergeCell ref="T48:U48"/>
    <mergeCell ref="V48:W48"/>
    <mergeCell ref="X48:Y48"/>
    <mergeCell ref="Z48:AA48"/>
    <mergeCell ref="AB48:AC48"/>
    <mergeCell ref="AD48:AE48"/>
    <mergeCell ref="H48:I48"/>
    <mergeCell ref="J48:K48"/>
    <mergeCell ref="H51:I51"/>
    <mergeCell ref="J51:K51"/>
    <mergeCell ref="L51:M51"/>
    <mergeCell ref="N51:O51"/>
    <mergeCell ref="P51:Q51"/>
    <mergeCell ref="R51:S51"/>
    <mergeCell ref="T51:U51"/>
    <mergeCell ref="V51:W51"/>
    <mergeCell ref="T50:U50"/>
    <mergeCell ref="V50:W50"/>
    <mergeCell ref="H50:I50"/>
    <mergeCell ref="J50:K50"/>
    <mergeCell ref="L50:M50"/>
    <mergeCell ref="N50:O50"/>
    <mergeCell ref="P50:Q50"/>
    <mergeCell ref="R50:S50"/>
    <mergeCell ref="R52:S52"/>
    <mergeCell ref="X51:Y51"/>
    <mergeCell ref="Z51:AA51"/>
    <mergeCell ref="AB51:AC51"/>
    <mergeCell ref="AD51:AE51"/>
    <mergeCell ref="AF51:AG51"/>
    <mergeCell ref="AH51:AI51"/>
    <mergeCell ref="AF50:AG50"/>
    <mergeCell ref="AH50:AI50"/>
    <mergeCell ref="X50:Y50"/>
    <mergeCell ref="Z50:AA50"/>
    <mergeCell ref="AB50:AC50"/>
    <mergeCell ref="AD50:AE50"/>
    <mergeCell ref="AD53:AE53"/>
    <mergeCell ref="AF53:AG53"/>
    <mergeCell ref="AH53:AI53"/>
    <mergeCell ref="AF52:AG52"/>
    <mergeCell ref="AH52:AI52"/>
    <mergeCell ref="H53:I53"/>
    <mergeCell ref="J53:K53"/>
    <mergeCell ref="L53:M53"/>
    <mergeCell ref="N53:O53"/>
    <mergeCell ref="P53:Q53"/>
    <mergeCell ref="R53:S53"/>
    <mergeCell ref="T53:U53"/>
    <mergeCell ref="V53:W53"/>
    <mergeCell ref="T52:U52"/>
    <mergeCell ref="V52:W52"/>
    <mergeCell ref="X52:Y52"/>
    <mergeCell ref="Z52:AA52"/>
    <mergeCell ref="AB52:AC52"/>
    <mergeCell ref="AD52:AE52"/>
    <mergeCell ref="H52:I52"/>
    <mergeCell ref="J52:K52"/>
    <mergeCell ref="L52:M52"/>
    <mergeCell ref="N52:O52"/>
    <mergeCell ref="P52:Q52"/>
    <mergeCell ref="AF54:AG54"/>
    <mergeCell ref="AH54:AI54"/>
    <mergeCell ref="C3:AJ3"/>
    <mergeCell ref="C8:K8"/>
    <mergeCell ref="C7:K7"/>
    <mergeCell ref="C6:K6"/>
    <mergeCell ref="C9:K9"/>
    <mergeCell ref="C10:K10"/>
    <mergeCell ref="C11:K11"/>
    <mergeCell ref="T54:U54"/>
    <mergeCell ref="V54:W54"/>
    <mergeCell ref="X54:Y54"/>
    <mergeCell ref="Z54:AA54"/>
    <mergeCell ref="AB54:AC54"/>
    <mergeCell ref="AD54:AE54"/>
    <mergeCell ref="H54:I54"/>
    <mergeCell ref="J54:K54"/>
    <mergeCell ref="L54:M54"/>
    <mergeCell ref="N54:O54"/>
    <mergeCell ref="P54:Q54"/>
    <mergeCell ref="R54:S54"/>
    <mergeCell ref="X53:Y53"/>
    <mergeCell ref="Z53:AA53"/>
    <mergeCell ref="AB53:AC53"/>
    <mergeCell ref="AD20:AJ20"/>
    <mergeCell ref="AD21:AJ21"/>
    <mergeCell ref="AD22:AJ22"/>
    <mergeCell ref="AD23:AJ23"/>
    <mergeCell ref="AD24:AJ24"/>
    <mergeCell ref="C12:K12"/>
    <mergeCell ref="C32:C33"/>
    <mergeCell ref="L6:M6"/>
    <mergeCell ref="L11:M11"/>
    <mergeCell ref="L9:M9"/>
    <mergeCell ref="D28:Q28"/>
    <mergeCell ref="D27:Q27"/>
    <mergeCell ref="C16:Y16"/>
    <mergeCell ref="N17:P18"/>
    <mergeCell ref="N19:P19"/>
    <mergeCell ref="N20:P20"/>
    <mergeCell ref="N21:P21"/>
    <mergeCell ref="N22:P22"/>
    <mergeCell ref="N23:P23"/>
    <mergeCell ref="E24:J24"/>
    <mergeCell ref="E17:J18"/>
    <mergeCell ref="K17:M18"/>
    <mergeCell ref="K19:M19"/>
    <mergeCell ref="K20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M37"/>
  <sheetViews>
    <sheetView showGridLines="0" workbookViewId="0">
      <selection activeCell="C3" sqref="C3:AE3"/>
    </sheetView>
  </sheetViews>
  <sheetFormatPr defaultRowHeight="15"/>
  <cols>
    <col min="1" max="6" width="4.7109375" customWidth="1"/>
    <col min="7" max="7" width="5.140625" customWidth="1"/>
    <col min="8" max="59" width="4.7109375" customWidth="1"/>
  </cols>
  <sheetData>
    <row r="1" spans="2:39" s="3" customFormat="1" ht="15.75" thickBot="1"/>
    <row r="2" spans="2:39" ht="15.75" thickTop="1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7"/>
    </row>
    <row r="3" spans="2:39" ht="18.75">
      <c r="B3" s="78"/>
      <c r="C3" s="79" t="s">
        <v>55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80"/>
    </row>
    <row r="4" spans="2:39">
      <c r="B4" s="78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0"/>
    </row>
    <row r="5" spans="2:39">
      <c r="B5" s="78"/>
      <c r="C5" s="82" t="s">
        <v>48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0"/>
    </row>
    <row r="6" spans="2:39" s="3" customFormat="1">
      <c r="B6" s="7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0"/>
    </row>
    <row r="7" spans="2:39"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0"/>
    </row>
    <row r="8" spans="2:39" s="3" customFormat="1">
      <c r="B8" s="78"/>
      <c r="C8" s="82" t="s">
        <v>52</v>
      </c>
      <c r="D8" s="82"/>
      <c r="E8" s="82"/>
      <c r="F8" s="82"/>
      <c r="G8" s="82"/>
      <c r="H8" s="82"/>
      <c r="I8" s="82"/>
      <c r="J8" s="84">
        <f>MARR/100</f>
        <v>0.1</v>
      </c>
      <c r="K8" s="84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0"/>
    </row>
    <row r="9" spans="2:39" s="3" customFormat="1"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0"/>
    </row>
    <row r="10" spans="2:39">
      <c r="B10" s="78"/>
      <c r="C10" s="82" t="s">
        <v>49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0"/>
    </row>
    <row r="11" spans="2:39" ht="15.75" thickBot="1">
      <c r="B11" s="7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0"/>
      <c r="AM11">
        <v>0</v>
      </c>
    </row>
    <row r="12" spans="2:39">
      <c r="B12" s="78"/>
      <c r="C12" s="48" t="s">
        <v>57</v>
      </c>
      <c r="D12" s="49"/>
      <c r="E12" s="49"/>
      <c r="F12" s="49"/>
      <c r="G12" s="49"/>
      <c r="H12" s="49"/>
      <c r="I12" s="49"/>
      <c r="J12" s="50" t="s">
        <v>30</v>
      </c>
      <c r="K12" s="5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0"/>
      <c r="AM12">
        <v>1</v>
      </c>
    </row>
    <row r="13" spans="2:39">
      <c r="B13" s="78"/>
      <c r="C13" s="52">
        <f>IF(nb&gt;=IRR!AM12,NPV!BB6,"")</f>
        <v>1</v>
      </c>
      <c r="D13" s="53" t="str">
        <f>IF(C13="","",INDEX(NPV!$E$20:$E$24,IRR!C13,1))</f>
        <v>Purchase Machine A</v>
      </c>
      <c r="E13" s="53"/>
      <c r="F13" s="53"/>
      <c r="G13" s="53"/>
      <c r="H13" s="53"/>
      <c r="I13" s="53"/>
      <c r="J13" s="54">
        <f>IF(C13="","",INDEX(NPV!$BA$13:$BE$13,1,IRR!C13))</f>
        <v>0.13704474216576293</v>
      </c>
      <c r="K13" s="55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0"/>
      <c r="AM13">
        <v>2</v>
      </c>
    </row>
    <row r="14" spans="2:39">
      <c r="B14" s="78"/>
      <c r="C14" s="52">
        <f>IF(nb&gt;=IRR!AM13,NPV!BB7,"")</f>
        <v>2</v>
      </c>
      <c r="D14" s="53" t="str">
        <f>IF(C14="","",INDEX(NPV!$E$20:$E$24,IRR!C14,1))</f>
        <v>Purchase Machine B</v>
      </c>
      <c r="E14" s="53"/>
      <c r="F14" s="53"/>
      <c r="G14" s="53"/>
      <c r="H14" s="53"/>
      <c r="I14" s="53"/>
      <c r="J14" s="54">
        <f>IF(C14="","",INDEX(NPV!$BA$13:$BE$13,1,IRR!C14))</f>
        <v>0.16739027899540893</v>
      </c>
      <c r="K14" s="55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0"/>
      <c r="AM14">
        <v>3</v>
      </c>
    </row>
    <row r="15" spans="2:39">
      <c r="B15" s="78"/>
      <c r="C15" s="52">
        <f>IF(nb&gt;=IRR!AM14,NPV!BB8,"")</f>
        <v>3</v>
      </c>
      <c r="D15" s="53" t="str">
        <f>IF(C15="","",INDEX(NPV!$E$20:$E$24,IRR!C15,1))</f>
        <v>Purchase Machine A&amp;B</v>
      </c>
      <c r="E15" s="53"/>
      <c r="F15" s="53"/>
      <c r="G15" s="53"/>
      <c r="H15" s="53"/>
      <c r="I15" s="53"/>
      <c r="J15" s="54">
        <f>IF(C15="","",INDEX(NPV!$BA$13:$BE$13,1,IRR!C15))</f>
        <v>0.13151359351499595</v>
      </c>
      <c r="K15" s="55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0"/>
      <c r="AM15">
        <v>4</v>
      </c>
    </row>
    <row r="16" spans="2:39">
      <c r="B16" s="78"/>
      <c r="C16" s="52">
        <f>IF(nb&gt;=IRR!AM15,NPV!BB9,"")</f>
        <v>5</v>
      </c>
      <c r="D16" s="53" t="str">
        <f>IF(C16="","",INDEX(NPV!$E$20:$E$24,IRR!C16,1))</f>
        <v>Purchase Machine A&amp;C</v>
      </c>
      <c r="E16" s="53"/>
      <c r="F16" s="53"/>
      <c r="G16" s="53"/>
      <c r="H16" s="53"/>
      <c r="I16" s="53"/>
      <c r="J16" s="54">
        <f>IF(C16="","",INDEX(NPV!$BA$13:$BE$13,1,IRR!C16))</f>
        <v>0.1407667034605761</v>
      </c>
      <c r="K16" s="55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0"/>
      <c r="AM16">
        <v>5</v>
      </c>
    </row>
    <row r="17" spans="2:32" ht="15.75" thickBot="1">
      <c r="B17" s="78"/>
      <c r="C17" s="56" t="str">
        <f>IF(nb&gt;=IRR!AM16,NPV!BB10,"")</f>
        <v/>
      </c>
      <c r="D17" s="57" t="str">
        <f>IF(C17="","",INDEX(NPV!$E$20:$E$24,IRR!C17,1))</f>
        <v/>
      </c>
      <c r="E17" s="57"/>
      <c r="F17" s="57"/>
      <c r="G17" s="57"/>
      <c r="H17" s="57"/>
      <c r="I17" s="57"/>
      <c r="J17" s="58" t="str">
        <f>IF(C17="","",INDEX(NPV!$BA$13:$BE$13,1,IRR!C17))</f>
        <v/>
      </c>
      <c r="K17" s="59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0"/>
    </row>
    <row r="18" spans="2:32">
      <c r="B18" s="78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0"/>
    </row>
    <row r="19" spans="2:32" s="3" customFormat="1" ht="15.75" thickBot="1">
      <c r="B19" s="78"/>
      <c r="C19" s="89" t="s">
        <v>56</v>
      </c>
      <c r="D19" s="89"/>
      <c r="E19" s="89"/>
      <c r="F19" s="89"/>
      <c r="G19" s="89"/>
      <c r="H19" s="89"/>
      <c r="I19" s="89"/>
      <c r="J19" s="89"/>
      <c r="K19" s="89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0"/>
    </row>
    <row r="20" spans="2:32" ht="15.75" thickBot="1">
      <c r="B20" s="78"/>
      <c r="C20" s="90"/>
      <c r="D20" s="90"/>
      <c r="E20" s="90"/>
      <c r="F20" s="60" t="s">
        <v>50</v>
      </c>
      <c r="G20" s="61"/>
      <c r="H20" s="61"/>
      <c r="I20" s="61" t="s">
        <v>51</v>
      </c>
      <c r="J20" s="61"/>
      <c r="K20" s="62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0"/>
    </row>
    <row r="21" spans="2:32">
      <c r="B21" s="78"/>
      <c r="C21" s="63" t="str">
        <f>IF(NPV!BX22="","",NPV!BX22)</f>
        <v>Opt1</v>
      </c>
      <c r="D21" s="64"/>
      <c r="E21" s="64"/>
      <c r="F21" s="65">
        <f>IF(C21="","",NPV!BY22)</f>
        <v>0.13704474216576293</v>
      </c>
      <c r="G21" s="65"/>
      <c r="H21" s="65"/>
      <c r="I21" s="64" t="str">
        <f>IF(C21="","","Opt"&amp;NPV!BY15)</f>
        <v>Opt1</v>
      </c>
      <c r="J21" s="64"/>
      <c r="K21" s="66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0"/>
    </row>
    <row r="22" spans="2:32">
      <c r="B22" s="78"/>
      <c r="C22" s="67" t="str">
        <f>IF(NPV!BX23="","",NPV!BX23)</f>
        <v>Opt(2-1)</v>
      </c>
      <c r="D22" s="68"/>
      <c r="E22" s="68"/>
      <c r="F22" s="69">
        <f>IF(C22="","",NPV!BY23)</f>
        <v>0.31309821517971198</v>
      </c>
      <c r="G22" s="69"/>
      <c r="H22" s="69"/>
      <c r="I22" s="68" t="str">
        <f>IF(C22="","","Opt"&amp;NPV!BY16)</f>
        <v>Opt2</v>
      </c>
      <c r="J22" s="68"/>
      <c r="K22" s="70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0"/>
    </row>
    <row r="23" spans="2:32">
      <c r="B23" s="78"/>
      <c r="C23" s="67" t="str">
        <f>IF(NPV!BX24="","",NPV!BX24)</f>
        <v>Opt(3-2)</v>
      </c>
      <c r="D23" s="68"/>
      <c r="E23" s="68"/>
      <c r="F23" s="69">
        <f>IF(C23="","",NPV!BY24)</f>
        <v>0</v>
      </c>
      <c r="G23" s="69"/>
      <c r="H23" s="69"/>
      <c r="I23" s="68" t="str">
        <f>IF(C23="","","Opt"&amp;NPV!BY17)</f>
        <v>Opt2</v>
      </c>
      <c r="J23" s="68"/>
      <c r="K23" s="70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0"/>
    </row>
    <row r="24" spans="2:32">
      <c r="B24" s="78"/>
      <c r="C24" s="67" t="str">
        <f>IF(NPV!BX25="","",NPV!BX25)</f>
        <v>Opt(5-2)</v>
      </c>
      <c r="D24" s="68"/>
      <c r="E24" s="68"/>
      <c r="F24" s="69">
        <f>IF(C24="","",NPV!BY25)</f>
        <v>0.12394137171157951</v>
      </c>
      <c r="G24" s="69"/>
      <c r="H24" s="69"/>
      <c r="I24" s="68" t="str">
        <f>IF(C24="","","Opt"&amp;NPV!BY18)</f>
        <v>Opt5</v>
      </c>
      <c r="J24" s="68"/>
      <c r="K24" s="7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0"/>
    </row>
    <row r="25" spans="2:32" ht="15.75" thickBot="1">
      <c r="B25" s="78"/>
      <c r="C25" s="71" t="str">
        <f>IF(NPV!BX26="","",NPV!BX26)</f>
        <v/>
      </c>
      <c r="D25" s="72"/>
      <c r="E25" s="72"/>
      <c r="F25" s="73" t="str">
        <f>IF(C25="","",NPV!BY26)</f>
        <v/>
      </c>
      <c r="G25" s="73"/>
      <c r="H25" s="73"/>
      <c r="I25" s="72" t="str">
        <f>IF(C25="","","Opt"&amp;NPV!BY19)</f>
        <v/>
      </c>
      <c r="J25" s="72"/>
      <c r="K25" s="74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0"/>
    </row>
    <row r="26" spans="2:32">
      <c r="B26" s="7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0"/>
    </row>
    <row r="27" spans="2:32" s="3" customFormat="1">
      <c r="B27" s="78"/>
      <c r="C27" s="109" t="s">
        <v>59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0"/>
    </row>
    <row r="28" spans="2:32" ht="15.75">
      <c r="B28" s="78"/>
      <c r="C28" s="112" t="str">
        <f>"Option "&amp;NPV!BY19&amp;" is the best option for the investment in Incremental IRR Analysis"</f>
        <v>Option 5 is the best option for the investment in Incremental IRR Analysis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0"/>
      <c r="T28" s="111"/>
      <c r="U28" s="111"/>
      <c r="V28" s="111"/>
      <c r="W28" s="110"/>
      <c r="X28" s="110"/>
      <c r="Y28" s="110"/>
      <c r="Z28" s="110"/>
      <c r="AA28" s="110"/>
      <c r="AB28" s="110"/>
      <c r="AC28" s="110"/>
      <c r="AD28" s="110"/>
      <c r="AE28" s="110"/>
      <c r="AF28" s="80"/>
    </row>
    <row r="29" spans="2:32" ht="15.75" thickBot="1">
      <c r="B29" s="8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8"/>
    </row>
    <row r="30" spans="2:32" ht="15.75" thickTop="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2:3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2:3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3:3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3:3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3:3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3:3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3:31"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</sheetData>
  <mergeCells count="40">
    <mergeCell ref="T28:V28"/>
    <mergeCell ref="C20:E20"/>
    <mergeCell ref="C19:K19"/>
    <mergeCell ref="C27:R27"/>
    <mergeCell ref="C28:R28"/>
    <mergeCell ref="J8:K8"/>
    <mergeCell ref="C3:AE3"/>
    <mergeCell ref="C5:P5"/>
    <mergeCell ref="C10:P10"/>
    <mergeCell ref="C12:I12"/>
    <mergeCell ref="C8:I8"/>
    <mergeCell ref="C6:P6"/>
    <mergeCell ref="F24:H24"/>
    <mergeCell ref="F25:H25"/>
    <mergeCell ref="I20:K20"/>
    <mergeCell ref="I21:K21"/>
    <mergeCell ref="I22:K22"/>
    <mergeCell ref="I23:K23"/>
    <mergeCell ref="I24:K24"/>
    <mergeCell ref="I25:K25"/>
    <mergeCell ref="J12:K12"/>
    <mergeCell ref="C25:E25"/>
    <mergeCell ref="C24:E24"/>
    <mergeCell ref="C23:E23"/>
    <mergeCell ref="C22:E22"/>
    <mergeCell ref="C21:E21"/>
    <mergeCell ref="F20:H20"/>
    <mergeCell ref="F21:H21"/>
    <mergeCell ref="F22:H22"/>
    <mergeCell ref="F23:H23"/>
    <mergeCell ref="D13:I13"/>
    <mergeCell ref="D14:I14"/>
    <mergeCell ref="D15:I15"/>
    <mergeCell ref="D16:I16"/>
    <mergeCell ref="D17:I17"/>
    <mergeCell ref="J13:K13"/>
    <mergeCell ref="J14:K14"/>
    <mergeCell ref="J15:K15"/>
    <mergeCell ref="J16:K16"/>
    <mergeCell ref="J17:K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8"/>
  <sheetViews>
    <sheetView workbookViewId="0"/>
  </sheetViews>
  <sheetFormatPr defaultRowHeight="15"/>
  <sheetData>
    <row r="1" spans="1:77">
      <c r="A1" s="3" t="s">
        <v>85</v>
      </c>
      <c r="B1" s="3" t="s">
        <v>86</v>
      </c>
      <c r="C1" s="3" t="s">
        <v>87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  <c r="M1" s="3" t="s">
        <v>97</v>
      </c>
      <c r="N1" s="3" t="s">
        <v>98</v>
      </c>
      <c r="O1" s="3" t="s">
        <v>99</v>
      </c>
      <c r="P1" s="3" t="s">
        <v>100</v>
      </c>
      <c r="Q1" s="3" t="s">
        <v>101</v>
      </c>
      <c r="R1" s="3" t="s">
        <v>102</v>
      </c>
      <c r="S1" s="3" t="s">
        <v>103</v>
      </c>
      <c r="T1" s="3" t="s">
        <v>104</v>
      </c>
      <c r="U1" s="3" t="s">
        <v>105</v>
      </c>
      <c r="V1" s="3" t="s">
        <v>106</v>
      </c>
      <c r="W1" s="3" t="s">
        <v>107</v>
      </c>
      <c r="X1" s="3" t="s">
        <v>108</v>
      </c>
      <c r="Y1" s="3" t="s">
        <v>109</v>
      </c>
      <c r="Z1" s="3" t="s">
        <v>110</v>
      </c>
      <c r="AA1" s="3" t="s">
        <v>111</v>
      </c>
      <c r="AB1" s="3" t="s">
        <v>112</v>
      </c>
      <c r="AC1" s="3" t="s">
        <v>113</v>
      </c>
      <c r="AD1" s="3" t="s">
        <v>114</v>
      </c>
      <c r="AE1" s="3" t="s">
        <v>115</v>
      </c>
      <c r="AF1" s="3" t="s">
        <v>116</v>
      </c>
      <c r="AG1" s="3" t="s">
        <v>117</v>
      </c>
      <c r="AH1" s="3" t="s">
        <v>118</v>
      </c>
      <c r="AI1" s="3" t="s">
        <v>119</v>
      </c>
      <c r="AJ1" s="3" t="s">
        <v>120</v>
      </c>
      <c r="AK1" s="3" t="s">
        <v>121</v>
      </c>
      <c r="AL1" s="3" t="s">
        <v>122</v>
      </c>
      <c r="AM1" s="3" t="s">
        <v>123</v>
      </c>
      <c r="AN1" s="3" t="s">
        <v>124</v>
      </c>
      <c r="AO1" s="3" t="s">
        <v>125</v>
      </c>
      <c r="AP1" s="3" t="s">
        <v>126</v>
      </c>
      <c r="AQ1" s="3" t="s">
        <v>127</v>
      </c>
      <c r="AR1" s="3" t="s">
        <v>128</v>
      </c>
      <c r="AS1" s="3" t="s">
        <v>129</v>
      </c>
      <c r="AT1" s="3" t="s">
        <v>130</v>
      </c>
      <c r="AU1" s="3" t="s">
        <v>131</v>
      </c>
      <c r="AV1" s="3" t="s">
        <v>132</v>
      </c>
      <c r="AW1" s="3" t="s">
        <v>133</v>
      </c>
      <c r="AX1" s="3" t="s">
        <v>134</v>
      </c>
      <c r="AY1" s="3" t="s">
        <v>135</v>
      </c>
      <c r="AZ1" s="3" t="s">
        <v>136</v>
      </c>
      <c r="BA1" s="3" t="s">
        <v>137</v>
      </c>
      <c r="BB1" s="3" t="s">
        <v>138</v>
      </c>
      <c r="BC1" s="3" t="s">
        <v>139</v>
      </c>
      <c r="BD1" s="3" t="s">
        <v>140</v>
      </c>
      <c r="BE1" s="3" t="s">
        <v>141</v>
      </c>
      <c r="BF1" s="3" t="s">
        <v>142</v>
      </c>
      <c r="BG1" s="3" t="s">
        <v>143</v>
      </c>
      <c r="BH1" s="3" t="s">
        <v>144</v>
      </c>
      <c r="BI1" s="3" t="s">
        <v>145</v>
      </c>
      <c r="BJ1" s="3" t="s">
        <v>146</v>
      </c>
      <c r="BK1" s="3" t="s">
        <v>147</v>
      </c>
      <c r="BL1" s="3" t="s">
        <v>148</v>
      </c>
      <c r="BM1" s="3" t="s">
        <v>149</v>
      </c>
      <c r="BN1" s="3" t="s">
        <v>150</v>
      </c>
      <c r="BO1" s="3" t="s">
        <v>151</v>
      </c>
      <c r="BP1" s="3" t="s">
        <v>152</v>
      </c>
      <c r="BQ1" s="3" t="s">
        <v>153</v>
      </c>
      <c r="BR1" s="3" t="s">
        <v>154</v>
      </c>
      <c r="BS1" s="3" t="s">
        <v>155</v>
      </c>
      <c r="BT1" s="3" t="s">
        <v>156</v>
      </c>
      <c r="BU1" s="3" t="s">
        <v>157</v>
      </c>
      <c r="BV1" s="3" t="s">
        <v>158</v>
      </c>
      <c r="BW1" s="3" t="s">
        <v>159</v>
      </c>
      <c r="BX1" s="3" t="s">
        <v>160</v>
      </c>
      <c r="BY1" s="3" t="s">
        <v>161</v>
      </c>
    </row>
    <row r="8" spans="1:77">
      <c r="A8" s="3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7"/>
  <sheetViews>
    <sheetView showGridLines="0" zoomScale="85" zoomScaleNormal="85" workbookViewId="0">
      <selection activeCell="C3" sqref="C3:T3"/>
    </sheetView>
  </sheetViews>
  <sheetFormatPr defaultRowHeight="15"/>
  <cols>
    <col min="1" max="2" width="4.7109375" style="3" customWidth="1"/>
    <col min="3" max="3" width="22.140625" bestFit="1" customWidth="1"/>
    <col min="4" max="4" width="9.140625" style="3"/>
    <col min="5" max="5" width="2.7109375" customWidth="1"/>
    <col min="6" max="6" width="34.140625" bestFit="1" customWidth="1"/>
    <col min="7" max="7" width="2.7109375" customWidth="1"/>
    <col min="8" max="8" width="5.28515625" bestFit="1" customWidth="1"/>
    <col min="9" max="9" width="3.28515625" bestFit="1" customWidth="1"/>
    <col min="10" max="10" width="5.28515625" bestFit="1" customWidth="1"/>
    <col min="11" max="11" width="2.7109375" customWidth="1"/>
    <col min="12" max="12" width="15.7109375" bestFit="1" customWidth="1"/>
    <col min="13" max="13" width="2.7109375" customWidth="1"/>
    <col min="14" max="14" width="5.28515625" bestFit="1" customWidth="1"/>
    <col min="15" max="15" width="7.28515625" bestFit="1" customWidth="1"/>
    <col min="16" max="16" width="5.28515625" bestFit="1" customWidth="1"/>
    <col min="17" max="17" width="2.5703125" bestFit="1" customWidth="1"/>
    <col min="19" max="19" width="2.7109375" customWidth="1"/>
    <col min="21" max="21" width="4.7109375" customWidth="1"/>
  </cols>
  <sheetData>
    <row r="1" spans="2:21" ht="15.75" thickBot="1"/>
    <row r="2" spans="2:21" s="3" customFormat="1">
      <c r="B2" s="290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2"/>
    </row>
    <row r="3" spans="2:21" ht="18.75">
      <c r="B3" s="97"/>
      <c r="C3" s="293" t="s">
        <v>81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105"/>
    </row>
    <row r="4" spans="2:21" ht="15.75" thickBot="1">
      <c r="B4" s="9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5"/>
    </row>
    <row r="5" spans="2:21" ht="16.5" thickTop="1" thickBot="1">
      <c r="B5" s="97"/>
      <c r="C5" s="104"/>
      <c r="D5" s="104"/>
      <c r="E5" s="301">
        <v>0</v>
      </c>
      <c r="F5" s="265"/>
      <c r="G5" s="266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5"/>
    </row>
    <row r="6" spans="2:21" ht="15.75" thickTop="1">
      <c r="B6" s="97"/>
      <c r="C6" s="104" t="s">
        <v>68</v>
      </c>
      <c r="D6" s="104"/>
      <c r="E6" s="267"/>
      <c r="F6" s="268" t="s">
        <v>65</v>
      </c>
      <c r="G6" s="269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21">
      <c r="B7" s="97"/>
      <c r="C7" s="104" t="s">
        <v>69</v>
      </c>
      <c r="D7" s="104"/>
      <c r="E7" s="267"/>
      <c r="F7" s="268" t="s">
        <v>66</v>
      </c>
      <c r="G7" s="269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</row>
    <row r="8" spans="2:21" s="3" customFormat="1">
      <c r="B8" s="97"/>
      <c r="C8" s="104"/>
      <c r="D8" s="104"/>
      <c r="E8" s="267"/>
      <c r="F8" s="268" t="s">
        <v>67</v>
      </c>
      <c r="G8" s="269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5"/>
    </row>
    <row r="9" spans="2:21" s="3" customFormat="1" ht="15.75" thickBot="1">
      <c r="B9" s="97"/>
      <c r="C9" s="104"/>
      <c r="D9" s="104"/>
      <c r="E9" s="270"/>
      <c r="F9" s="271"/>
      <c r="G9" s="272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5"/>
    </row>
    <row r="10" spans="2:21" ht="16.5" thickTop="1" thickBot="1">
      <c r="B10" s="97"/>
      <c r="C10" s="104"/>
      <c r="D10" s="104"/>
      <c r="E10" s="294"/>
      <c r="F10" s="294"/>
      <c r="G10" s="29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5"/>
    </row>
    <row r="11" spans="2:21" ht="16.5" thickTop="1" thickBot="1">
      <c r="B11" s="97"/>
      <c r="C11" s="104"/>
      <c r="D11" s="104"/>
      <c r="E11" s="301">
        <v>1</v>
      </c>
      <c r="F11" s="265"/>
      <c r="G11" s="266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/>
    </row>
    <row r="12" spans="2:21" ht="15.75" thickTop="1">
      <c r="B12" s="97"/>
      <c r="C12" s="104"/>
      <c r="D12" s="104"/>
      <c r="E12" s="267"/>
      <c r="F12" s="268" t="s">
        <v>82</v>
      </c>
      <c r="G12" s="269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5"/>
    </row>
    <row r="13" spans="2:21" s="3" customFormat="1" ht="15.75" thickBot="1">
      <c r="B13" s="97"/>
      <c r="C13" s="104"/>
      <c r="D13" s="104"/>
      <c r="E13" s="270"/>
      <c r="F13" s="271"/>
      <c r="G13" s="272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5"/>
    </row>
    <row r="14" spans="2:21" ht="16.5" thickTop="1" thickBot="1">
      <c r="B14" s="97"/>
      <c r="C14" s="104"/>
      <c r="D14" s="104"/>
      <c r="E14" s="294"/>
      <c r="F14" s="294"/>
      <c r="G14" s="29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5"/>
    </row>
    <row r="15" spans="2:21" s="3" customFormat="1" ht="16.5" thickTop="1" thickBot="1">
      <c r="B15" s="97"/>
      <c r="C15" s="104"/>
      <c r="D15" s="104"/>
      <c r="E15" s="302">
        <v>2</v>
      </c>
      <c r="F15" s="282"/>
      <c r="G15" s="283"/>
      <c r="H15" s="104"/>
      <c r="I15" s="104"/>
      <c r="J15" s="104"/>
      <c r="K15" s="301">
        <v>3</v>
      </c>
      <c r="L15" s="265"/>
      <c r="M15" s="266"/>
      <c r="N15" s="294"/>
      <c r="O15" s="294"/>
      <c r="P15" s="294"/>
      <c r="Q15" s="264"/>
      <c r="R15" s="265"/>
      <c r="S15" s="266"/>
      <c r="T15" s="104"/>
      <c r="U15" s="105"/>
    </row>
    <row r="16" spans="2:21" ht="15.75" thickTop="1">
      <c r="B16" s="97"/>
      <c r="C16" s="104"/>
      <c r="D16" s="104"/>
      <c r="E16" s="284"/>
      <c r="F16" s="285" t="s">
        <v>70</v>
      </c>
      <c r="G16" s="286"/>
      <c r="H16" s="299" t="s">
        <v>75</v>
      </c>
      <c r="I16" s="104" t="s">
        <v>74</v>
      </c>
      <c r="J16" s="104" t="s">
        <v>75</v>
      </c>
      <c r="K16" s="267"/>
      <c r="L16" s="268" t="s">
        <v>76</v>
      </c>
      <c r="M16" s="269"/>
      <c r="N16" s="295" t="s">
        <v>75</v>
      </c>
      <c r="O16" s="294" t="s">
        <v>79</v>
      </c>
      <c r="P16" s="294" t="s">
        <v>75</v>
      </c>
      <c r="Q16" s="267"/>
      <c r="R16" s="268" t="s">
        <v>80</v>
      </c>
      <c r="S16" s="269"/>
      <c r="T16" s="104"/>
      <c r="U16" s="105"/>
    </row>
    <row r="17" spans="2:21" ht="15.75" thickBot="1">
      <c r="B17" s="97"/>
      <c r="C17" s="104"/>
      <c r="D17" s="104"/>
      <c r="E17" s="287"/>
      <c r="F17" s="288"/>
      <c r="G17" s="289"/>
      <c r="H17" s="104"/>
      <c r="I17" s="104"/>
      <c r="J17" s="104"/>
      <c r="K17" s="270"/>
      <c r="L17" s="271"/>
      <c r="M17" s="272"/>
      <c r="N17" s="294"/>
      <c r="O17" s="294"/>
      <c r="P17" s="294"/>
      <c r="Q17" s="270"/>
      <c r="R17" s="271" t="s">
        <v>83</v>
      </c>
      <c r="S17" s="272"/>
      <c r="T17" s="104"/>
      <c r="U17" s="105"/>
    </row>
    <row r="18" spans="2:21" ht="15.75" thickTop="1">
      <c r="B18" s="97"/>
      <c r="C18" s="104"/>
      <c r="D18" s="104"/>
      <c r="E18" s="294"/>
      <c r="F18" s="295" t="s">
        <v>71</v>
      </c>
      <c r="G18" s="294"/>
      <c r="H18" s="104"/>
      <c r="I18" s="104"/>
      <c r="J18" s="104"/>
      <c r="K18" s="294"/>
      <c r="L18" s="295" t="s">
        <v>71</v>
      </c>
      <c r="M18" s="294"/>
      <c r="N18" s="294"/>
      <c r="O18" s="294"/>
      <c r="P18" s="294"/>
      <c r="Q18" s="294"/>
      <c r="R18" s="294"/>
      <c r="S18" s="294"/>
      <c r="T18" s="104"/>
      <c r="U18" s="105"/>
    </row>
    <row r="19" spans="2:21">
      <c r="B19" s="97"/>
      <c r="C19" s="104"/>
      <c r="D19" s="104"/>
      <c r="E19" s="294"/>
      <c r="F19" s="294" t="s">
        <v>72</v>
      </c>
      <c r="G19" s="294"/>
      <c r="H19" s="104"/>
      <c r="I19" s="104"/>
      <c r="J19" s="104"/>
      <c r="K19" s="294"/>
      <c r="L19" s="294" t="s">
        <v>77</v>
      </c>
      <c r="M19" s="294"/>
      <c r="N19" s="294"/>
      <c r="O19" s="294"/>
      <c r="P19" s="294"/>
      <c r="Q19" s="294"/>
      <c r="R19" s="294"/>
      <c r="S19" s="294"/>
      <c r="T19" s="104"/>
      <c r="U19" s="105"/>
    </row>
    <row r="20" spans="2:21" ht="15.75" thickBot="1">
      <c r="B20" s="97"/>
      <c r="C20" s="104"/>
      <c r="D20" s="104"/>
      <c r="E20" s="294"/>
      <c r="F20" s="294" t="s">
        <v>71</v>
      </c>
      <c r="G20" s="294"/>
      <c r="H20" s="104"/>
      <c r="I20" s="104"/>
      <c r="J20" s="104"/>
      <c r="K20" s="294"/>
      <c r="L20" s="294" t="s">
        <v>71</v>
      </c>
      <c r="M20" s="294"/>
      <c r="N20" s="294"/>
      <c r="O20" s="294"/>
      <c r="P20" s="294"/>
      <c r="Q20" s="294"/>
      <c r="R20" s="294"/>
      <c r="S20" s="294"/>
      <c r="T20" s="104"/>
      <c r="U20" s="105"/>
    </row>
    <row r="21" spans="2:21" ht="15.75" thickTop="1">
      <c r="B21" s="97"/>
      <c r="C21" s="104"/>
      <c r="D21" s="104"/>
      <c r="E21" s="273"/>
      <c r="F21" s="274"/>
      <c r="G21" s="275"/>
      <c r="H21" s="104"/>
      <c r="I21" s="104"/>
      <c r="J21" s="104"/>
      <c r="K21" s="264"/>
      <c r="L21" s="265"/>
      <c r="M21" s="266"/>
      <c r="N21" s="294"/>
      <c r="O21" s="294"/>
      <c r="P21" s="294"/>
      <c r="Q21" s="294"/>
      <c r="R21" s="294"/>
      <c r="S21" s="294"/>
      <c r="T21" s="104"/>
      <c r="U21" s="105"/>
    </row>
    <row r="22" spans="2:21">
      <c r="B22" s="97"/>
      <c r="C22" s="104"/>
      <c r="D22" s="104"/>
      <c r="E22" s="276"/>
      <c r="F22" s="277" t="s">
        <v>73</v>
      </c>
      <c r="G22" s="278"/>
      <c r="H22" s="104"/>
      <c r="I22" s="104"/>
      <c r="J22" s="104"/>
      <c r="K22" s="267"/>
      <c r="L22" s="268" t="s">
        <v>78</v>
      </c>
      <c r="M22" s="269"/>
      <c r="N22" s="296"/>
      <c r="O22" s="295"/>
      <c r="P22" s="295"/>
      <c r="Q22" s="295"/>
      <c r="R22" s="294"/>
      <c r="S22" s="294"/>
      <c r="T22" s="104"/>
      <c r="U22" s="105"/>
    </row>
    <row r="23" spans="2:21" ht="15.75" thickBot="1">
      <c r="B23" s="97"/>
      <c r="C23" s="104"/>
      <c r="D23" s="104"/>
      <c r="E23" s="279"/>
      <c r="F23" s="280" t="s">
        <v>84</v>
      </c>
      <c r="G23" s="281"/>
      <c r="H23" s="104"/>
      <c r="I23" s="104"/>
      <c r="J23" s="104"/>
      <c r="K23" s="270"/>
      <c r="L23" s="271" t="s">
        <v>83</v>
      </c>
      <c r="M23" s="272"/>
      <c r="N23" s="294"/>
      <c r="O23" s="294"/>
      <c r="P23" s="294"/>
      <c r="Q23" s="294"/>
      <c r="R23" s="294"/>
      <c r="S23" s="294"/>
      <c r="T23" s="104"/>
      <c r="U23" s="105"/>
    </row>
    <row r="24" spans="2:21" ht="15.75" thickTop="1">
      <c r="B24" s="97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5"/>
    </row>
    <row r="25" spans="2:21">
      <c r="B25" s="97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5"/>
    </row>
    <row r="26" spans="2:21">
      <c r="B26" s="97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</row>
    <row r="27" spans="2:21" ht="15.75" thickBot="1">
      <c r="B27" s="300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8"/>
    </row>
  </sheetData>
  <mergeCells count="1">
    <mergeCell ref="C3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7"/>
  <sheetViews>
    <sheetView showGridLines="0" workbookViewId="0">
      <selection activeCell="D3" sqref="D3:Y3"/>
    </sheetView>
  </sheetViews>
  <sheetFormatPr defaultRowHeight="15"/>
  <cols>
    <col min="1" max="62" width="4.7109375" customWidth="1"/>
  </cols>
  <sheetData>
    <row r="1" spans="1:28" ht="15.75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thickTop="1">
      <c r="A2" s="3"/>
      <c r="B2" s="303"/>
      <c r="C2" s="304"/>
      <c r="D2" s="304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6"/>
      <c r="AA2" s="307"/>
      <c r="AB2" s="3"/>
    </row>
    <row r="3" spans="1:28" ht="18.75">
      <c r="A3" s="3"/>
      <c r="B3" s="308"/>
      <c r="C3" s="309"/>
      <c r="D3" s="310" t="s">
        <v>173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1"/>
      <c r="AA3" s="307"/>
      <c r="AB3" s="3"/>
    </row>
    <row r="4" spans="1:28">
      <c r="A4" s="3"/>
      <c r="B4" s="308"/>
      <c r="C4" s="312" t="s">
        <v>162</v>
      </c>
      <c r="D4" s="309" t="s">
        <v>174</v>
      </c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13"/>
      <c r="AA4" s="314"/>
      <c r="AB4" s="3"/>
    </row>
    <row r="5" spans="1:28">
      <c r="A5" s="3"/>
      <c r="B5" s="308"/>
      <c r="C5" s="312" t="s">
        <v>163</v>
      </c>
      <c r="D5" s="309" t="s">
        <v>164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13"/>
      <c r="AA5" s="314"/>
      <c r="AB5" s="3"/>
    </row>
    <row r="6" spans="1:28">
      <c r="A6" s="3"/>
      <c r="B6" s="308"/>
      <c r="C6" s="309"/>
      <c r="D6" s="315" t="s">
        <v>165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13"/>
      <c r="AA6" s="314"/>
      <c r="AB6" s="3"/>
    </row>
    <row r="7" spans="1:28">
      <c r="A7" s="3"/>
      <c r="B7" s="308"/>
      <c r="C7" s="309"/>
      <c r="D7" s="309" t="s">
        <v>175</v>
      </c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13"/>
      <c r="AA7" s="314"/>
      <c r="AB7" s="3"/>
    </row>
    <row r="8" spans="1:28">
      <c r="A8" s="3"/>
      <c r="B8" s="308"/>
      <c r="C8" s="312" t="s">
        <v>166</v>
      </c>
      <c r="D8" s="309" t="s">
        <v>164</v>
      </c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13"/>
      <c r="AA8" s="314"/>
      <c r="AB8" s="3"/>
    </row>
    <row r="9" spans="1:28">
      <c r="A9" s="3"/>
      <c r="B9" s="308"/>
      <c r="C9" s="309"/>
      <c r="D9" s="315" t="s">
        <v>167</v>
      </c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13"/>
      <c r="AA9" s="314"/>
      <c r="AB9" s="3"/>
    </row>
    <row r="10" spans="1:28">
      <c r="A10" s="3"/>
      <c r="B10" s="308"/>
      <c r="C10" s="309"/>
      <c r="D10" s="309" t="s">
        <v>168</v>
      </c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13"/>
      <c r="AA10" s="314"/>
      <c r="AB10" s="3"/>
    </row>
    <row r="11" spans="1:28">
      <c r="A11" s="3"/>
      <c r="B11" s="308"/>
      <c r="C11" s="312" t="s">
        <v>169</v>
      </c>
      <c r="D11" s="309" t="s">
        <v>176</v>
      </c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13"/>
      <c r="AA11" s="314"/>
      <c r="AB11" s="3"/>
    </row>
    <row r="12" spans="1:28">
      <c r="A12" s="3"/>
      <c r="B12" s="308"/>
      <c r="C12" s="309"/>
      <c r="D12" s="309" t="s">
        <v>177</v>
      </c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13"/>
      <c r="AA12" s="314"/>
      <c r="AB12" s="3"/>
    </row>
    <row r="13" spans="1:28">
      <c r="A13" s="3"/>
      <c r="B13" s="308"/>
      <c r="C13" s="312" t="s">
        <v>162</v>
      </c>
      <c r="D13" s="309" t="s">
        <v>178</v>
      </c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13"/>
      <c r="AA13" s="314"/>
      <c r="AB13" s="3"/>
    </row>
    <row r="14" spans="1:28">
      <c r="A14" s="3"/>
      <c r="B14" s="308"/>
      <c r="C14" s="312"/>
      <c r="D14" s="315" t="s">
        <v>179</v>
      </c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13"/>
      <c r="AA14" s="314"/>
      <c r="AB14" s="3"/>
    </row>
    <row r="15" spans="1:28">
      <c r="A15" s="3"/>
      <c r="B15" s="308"/>
      <c r="C15" s="312" t="s">
        <v>162</v>
      </c>
      <c r="D15" s="309" t="s">
        <v>170</v>
      </c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13"/>
      <c r="AA15" s="314"/>
      <c r="AB15" s="3"/>
    </row>
    <row r="16" spans="1:28">
      <c r="A16" s="3"/>
      <c r="B16" s="308"/>
      <c r="C16" s="312"/>
      <c r="D16" s="315" t="s">
        <v>171</v>
      </c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13"/>
      <c r="AA16" s="314"/>
      <c r="AB16" s="3"/>
    </row>
    <row r="17" spans="1:28" ht="15.75" thickBot="1">
      <c r="A17" s="3"/>
      <c r="B17" s="316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314"/>
      <c r="AB17" s="3"/>
    </row>
    <row r="18" spans="1:28" ht="15.75" thickTop="1">
      <c r="A18" s="3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"/>
    </row>
    <row r="19" spans="1:28">
      <c r="A19" s="3"/>
      <c r="B19" s="314"/>
      <c r="C19" s="314"/>
      <c r="D19" s="3" t="s">
        <v>172</v>
      </c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"/>
    </row>
    <row r="20" spans="1:28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"/>
    </row>
    <row r="21" spans="1:28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"/>
    </row>
    <row r="22" spans="1:28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"/>
    </row>
    <row r="23" spans="1:28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3"/>
    </row>
    <row r="24" spans="1:28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3"/>
    </row>
    <row r="27" spans="1:28">
      <c r="P27" s="3"/>
    </row>
  </sheetData>
  <mergeCells count="1">
    <mergeCell ref="D3: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6</vt:i4>
      </vt:variant>
    </vt:vector>
  </HeadingPairs>
  <TitlesOfParts>
    <vt:vector size="10" baseType="lpstr">
      <vt:lpstr>NPV</vt:lpstr>
      <vt:lpstr>IRR</vt:lpstr>
      <vt:lpstr>Inc IRR Rule</vt:lpstr>
      <vt:lpstr>Readme</vt:lpstr>
      <vt:lpstr>Control_1</vt:lpstr>
      <vt:lpstr>Control_2</vt:lpstr>
      <vt:lpstr>Interest</vt:lpstr>
      <vt:lpstr>MARR</vt:lpstr>
      <vt:lpstr>nb</vt:lpstr>
      <vt:lpstr>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Pagos, Inc.</dc:creator>
  <cp:lastModifiedBy>Pagos, Inc.</cp:lastModifiedBy>
  <dcterms:created xsi:type="dcterms:W3CDTF">2009-04-21T20:49:37Z</dcterms:created>
  <dcterms:modified xsi:type="dcterms:W3CDTF">2009-04-22T08:28:04Z</dcterms:modified>
</cp:coreProperties>
</file>